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m3BycpoZlmhV9CZkcwC7jNqfL2LAUc/efDlAw4cH6BuNCrvH77IehYLiiRvQWBn5a0XLyT1CYbDp+YkCwXbUSw==" workbookSaltValue="OK7hoqQAXsxBIyjVkwpC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L17" i="14"/>
  <c r="F28" i="2"/>
  <c r="I13" i="14"/>
  <c r="BG17" i="13"/>
  <c r="R8" i="9"/>
  <c r="S21" i="14" s="1"/>
  <c r="V21" i="14" s="1"/>
  <c r="S29" i="14"/>
  <c r="V29" i="14" s="1"/>
  <c r="R19" i="14"/>
  <c r="T25" i="11"/>
  <c r="S16" i="14"/>
  <c r="V16" i="14" s="1"/>
  <c r="AA28" i="16"/>
  <c r="X13" i="17"/>
  <c r="X9" i="17"/>
  <c r="X19" i="20"/>
  <c r="V19" i="16"/>
  <c r="S11" i="14"/>
  <c r="V11" i="14" s="1"/>
  <c r="X17" i="17"/>
  <c r="X18" i="17"/>
  <c r="X17" i="20"/>
  <c r="AZ22" i="11"/>
  <c r="L19" i="2"/>
  <c r="L25" i="2"/>
  <c r="X9" i="16"/>
  <c r="X31" i="16" s="1"/>
  <c r="R13" i="17"/>
  <c r="S13" i="17" s="1"/>
  <c r="P13" i="14"/>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O32" i="20"/>
  <c r="AH32" i="20"/>
  <c r="T32" i="20"/>
  <c r="AA32" i="20"/>
  <c r="AN32" i="20"/>
  <c r="AD32" i="20"/>
  <c r="AC32" i="20"/>
  <c r="AV32" i="20"/>
  <c r="O10" i="11"/>
  <c r="AP32" i="20"/>
  <c r="U17" i="11"/>
  <c r="W32" i="21"/>
  <c r="AQ32" i="20"/>
  <c r="N32" i="20"/>
  <c r="AL32" i="20"/>
  <c r="X32" i="20"/>
  <c r="I10" i="12" l="1"/>
  <c r="I16" i="12"/>
  <c r="AO30" i="17"/>
  <c r="BH26" i="16"/>
  <c r="BF23" i="13"/>
  <c r="AM17" i="11"/>
  <c r="AQ26" i="21"/>
  <c r="AO26" i="17"/>
  <c r="R13" i="14"/>
  <c r="X12" i="16"/>
  <c r="L29" i="2"/>
  <c r="L21" i="2"/>
  <c r="L11" i="2"/>
  <c r="AZ12" i="11"/>
  <c r="X22" i="20"/>
  <c r="AA16" i="16"/>
  <c r="AA25" i="16"/>
  <c r="V16" i="20"/>
  <c r="V23" i="20" s="1"/>
  <c r="AA12" i="21"/>
  <c r="T18" i="20"/>
  <c r="AA18" i="16"/>
  <c r="AA17" i="16"/>
  <c r="T18" i="11"/>
  <c r="T11" i="11"/>
  <c r="T13" i="11"/>
  <c r="R12" i="14"/>
  <c r="S19" i="14"/>
  <c r="V19" i="14" s="1"/>
  <c r="K17" i="12"/>
  <c r="L13" i="2"/>
  <c r="AZ28" i="11"/>
  <c r="AZ20" i="11"/>
  <c r="V21" i="16"/>
  <c r="U10" i="21"/>
  <c r="AA9" i="16"/>
  <c r="AA20" i="16"/>
  <c r="X21" i="17"/>
  <c r="AA10" i="16"/>
  <c r="T17"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V13" i="16"/>
  <c r="T12" i="11"/>
  <c r="R11" i="14"/>
  <c r="S10" i="14"/>
  <c r="V10" i="14" s="1"/>
  <c r="T22" i="11"/>
  <c r="R22" i="14"/>
  <c r="S18" i="14"/>
  <c r="V18" i="14" s="1"/>
  <c r="X12" i="21"/>
  <c r="T9" i="11"/>
  <c r="BF11" i="11"/>
  <c r="BH11" i="16"/>
  <c r="BH21" i="16"/>
  <c r="S20" i="14"/>
  <c r="V20" i="14" s="1"/>
  <c r="BL9" i="11"/>
  <c r="Q9" i="11" s="1"/>
  <c r="BK13" i="11"/>
  <c r="BH18" i="16"/>
  <c r="BH16" i="11"/>
  <c r="BF19" i="11"/>
  <c r="BH19" i="16"/>
  <c r="BJ19" i="11"/>
  <c r="P18" i="17"/>
  <c r="BL18" i="11"/>
  <c r="BM29" i="11"/>
  <c r="BI28" i="11"/>
  <c r="BF29" i="11"/>
  <c r="BK12" i="11"/>
  <c r="BK14" i="11" s="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AP17" i="20"/>
  <c r="V11" i="16"/>
  <c r="BF10" i="11"/>
  <c r="BI25" i="11"/>
  <c r="AP22" i="20"/>
  <c r="V20" i="11"/>
  <c r="BH18" i="11"/>
  <c r="BM16" i="11"/>
  <c r="AO28" i="17"/>
  <c r="AZ16" i="11"/>
  <c r="AZ23" i="11" s="1"/>
  <c r="BU16" i="17"/>
  <c r="BW19" i="20"/>
  <c r="BW18" i="20"/>
  <c r="BV12" i="16"/>
  <c r="BW12" i="20"/>
  <c r="BV16" i="16"/>
  <c r="BW16" i="20"/>
  <c r="U10" i="17"/>
  <c r="BV10" i="16"/>
  <c r="BU18" i="17"/>
  <c r="V12" i="16"/>
  <c r="BU12" i="17"/>
  <c r="AZ17" i="11"/>
  <c r="BI20" i="11"/>
  <c r="AQ10" i="21"/>
  <c r="BL10" i="11"/>
  <c r="BI29" i="11"/>
  <c r="BG17" i="11"/>
  <c r="BM21" i="11"/>
  <c r="AO25" i="17"/>
  <c r="BL17" i="11"/>
  <c r="L22" i="2"/>
  <c r="S17" i="17"/>
  <c r="X19" i="16"/>
  <c r="V10"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H25" i="11"/>
  <c r="BK10" i="11"/>
  <c r="BI21" i="11"/>
  <c r="L10" i="2"/>
  <c r="L28" i="2"/>
  <c r="X21" i="20"/>
  <c r="L16" i="2"/>
  <c r="L17" i="2"/>
  <c r="L18" i="2"/>
  <c r="X16" i="16"/>
  <c r="X23" i="16" s="1"/>
  <c r="AA11" i="16"/>
  <c r="L9" i="2"/>
  <c r="V25" i="16"/>
  <c r="BL19" i="11"/>
  <c r="BJ22" i="11"/>
  <c r="BJ18" i="11"/>
  <c r="BG10" i="11"/>
  <c r="BM17" i="11"/>
  <c r="BF21" i="11"/>
  <c r="V25" i="11"/>
  <c r="BF17" i="11"/>
  <c r="Q17" i="11" s="1"/>
  <c r="BL12" i="11"/>
  <c r="BK21" i="11"/>
  <c r="V11" i="11"/>
  <c r="BM12" i="11"/>
  <c r="V13" i="11"/>
  <c r="V9" i="11"/>
  <c r="BI19" i="11"/>
  <c r="BJ16" i="11"/>
  <c r="BJ23" i="11" s="1"/>
  <c r="AP16" i="20"/>
  <c r="R25" i="14"/>
  <c r="R26" i="14" s="1"/>
  <c r="BH13" i="11"/>
  <c r="BL13" i="11"/>
  <c r="Q13" i="11" s="1"/>
  <c r="BL25" i="11"/>
  <c r="Q25" i="11" s="1"/>
  <c r="BG19" i="11"/>
  <c r="AZ9" i="11"/>
  <c r="BL29" i="11"/>
  <c r="P29" i="11" s="1"/>
  <c r="BJ25" i="11"/>
  <c r="T16" i="16"/>
  <c r="T23" i="16" s="1"/>
  <c r="T31" i="16" s="1"/>
  <c r="BW20" i="20"/>
  <c r="BV19" i="16"/>
  <c r="BV18" i="16"/>
  <c r="X20" i="16"/>
  <c r="BU10" i="17"/>
  <c r="BW25" i="20"/>
  <c r="BU22" i="17"/>
  <c r="U13" i="17"/>
  <c r="BU20" i="17"/>
  <c r="BW29" i="20"/>
  <c r="BW22" i="20"/>
  <c r="BV29" i="16"/>
  <c r="BW21" i="20"/>
  <c r="BV9" i="16"/>
  <c r="S28" i="17"/>
  <c r="T16" i="11"/>
  <c r="BG12" i="11"/>
  <c r="Q18" i="17"/>
  <c r="Q23" i="17" s="1"/>
  <c r="Q31" i="17" s="1"/>
  <c r="BH10" i="11"/>
  <c r="BI9" i="11"/>
  <c r="BL28" i="11"/>
  <c r="AO29" i="17"/>
  <c r="S10" i="17"/>
  <c r="BH10" i="16"/>
  <c r="BH11" i="11"/>
  <c r="S18" i="17"/>
  <c r="BM9" i="11"/>
  <c r="BH12" i="16"/>
  <c r="BJ17" i="11"/>
  <c r="BK22" i="11"/>
  <c r="BH22" i="11"/>
  <c r="X12" i="17"/>
  <c r="X22" i="16"/>
  <c r="S16" i="17"/>
  <c r="L12" i="2"/>
  <c r="X10" i="21"/>
  <c r="L20" i="2"/>
  <c r="U9" i="17"/>
  <c r="U31" i="17" s="1"/>
  <c r="V9" i="16"/>
  <c r="T28" i="11"/>
  <c r="T19" i="11"/>
  <c r="R28" i="14"/>
  <c r="R18" i="14"/>
  <c r="S28" i="14"/>
  <c r="V2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BL23" i="11"/>
  <c r="P16" i="11"/>
  <c r="BF23" i="11"/>
  <c r="AA31" i="11"/>
  <c r="P20" i="11"/>
  <c r="P13" i="11"/>
  <c r="S31" i="16"/>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K32" i="16"/>
  <c r="AG32" i="21"/>
  <c r="AC32" i="16"/>
  <c r="AA32" i="21"/>
  <c r="AE32" i="16"/>
  <c r="N32" i="16"/>
  <c r="R32" i="16"/>
  <c r="AM32" i="11"/>
  <c r="S32" i="11"/>
  <c r="BE32" i="21"/>
  <c r="J32" i="16"/>
  <c r="AN32" i="16"/>
  <c r="AG32" i="17"/>
  <c r="F32" i="16"/>
  <c r="AK32" i="11"/>
  <c r="E32" i="12"/>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AJ32" i="21"/>
  <c r="BO32" i="16"/>
  <c r="AY32" i="11"/>
  <c r="AH32" i="16"/>
  <c r="E32" i="17"/>
  <c r="Q32" i="17"/>
  <c r="BC32" i="16"/>
  <c r="AU32" i="21"/>
  <c r="AE32" i="17"/>
  <c r="AC32" i="17"/>
  <c r="AF32" i="16"/>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<sst xmlns="http://schemas.openxmlformats.org/spreadsheetml/2006/main" count="2682" uniqueCount="1192">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</sst>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Qthh4nREeTmRUQZCFTBVftMIK1Ri0z/wixNKAW1jAo6EkE4E8J39mDlr3bzq9EMF/JSpcADIdFpoZXTr0IBLA==" saltValue="kOFyRsNvs5S+2+do+OSq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2</v>
      </c>
      <c r="F10" s="240">
        <f>IF(ISNUMBER(Datos!K10),Datos!K10," - ")</f>
        <v>2</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54.776811594202904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678</v>
      </c>
      <c r="D17" s="239">
        <f>IF(ISNUMBER(IF(D_I="SI",Datos!I17,Datos!I17+Datos!AC17)),IF(D_I="SI",Datos!I17,Datos!I17+Datos!AC17)," - ")</f>
        <v>672</v>
      </c>
      <c r="E17" s="240">
        <f>IF(ISNUMBER(IF(D_I="SI",Datos!J17,Datos!J17+Datos!AD17)),IF(D_I="SI",Datos!J17,Datos!J17+Datos!AD17)," - ")</f>
        <v>264</v>
      </c>
      <c r="F17" s="240">
        <f>IF(ISNUMBER(IF(D_I="SI",Datos!K17,Datos!K17+Datos!AE17)),IF(D_I="SI",Datos!K17,Datos!K17+Datos!AE17)," - ")</f>
        <v>233</v>
      </c>
      <c r="G17" s="1390" t="str">
        <f>IF(Datos!E17&lt;&gt;"",Datos!E17,Datos!D17)</f>
        <v>04</v>
      </c>
      <c r="H17" s="241">
        <f>IF(ISNUMBER(IF(D_I="SI",Datos!L17,Datos!L17+Datos!AF17)),IF(D_I="SI",Datos!L17,Datos!L17+Datos!AF17)," - ")</f>
        <v>709</v>
      </c>
      <c r="I17" s="1400" t="str">
        <f>IF(ISNUMBER(Datos!AS17/Datos!BM17),Datos!AS17/Datos!BM17," - ")</f>
        <v xml:space="preserve"> - </v>
      </c>
      <c r="J17" s="1401">
        <f>IF(ISNUMBER(Datos!BY17/Datos!CN17),Datos!BY17/Datos!CN17," - ")</f>
        <v>0</v>
      </c>
      <c r="K17" s="244">
        <f t="shared" si="3"/>
        <v>4.5722713864306784E-2</v>
      </c>
      <c r="L17" s="1402">
        <f>IF(ISNUMBER(NºAsuntos!I17/NºAsuntos!G17),(NºAsuntos!I17/NºAsuntos!G17)*11," - ")</f>
        <v>33.472103004291846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50</v>
      </c>
      <c r="E18" s="240">
        <f>IF(ISNUMBER(IF(D_I="SI",Datos!J18,Datos!J18+Datos!AD18)),IF(D_I="SI",Datos!J18,Datos!J18+Datos!AD18)," - ")</f>
        <v>46</v>
      </c>
      <c r="F18" s="240">
        <f>IF(ISNUMBER(IF(D_I="SI",Datos!K18,Datos!K18+Datos!AE18)),IF(D_I="SI",Datos!K18,Datos!K18+Datos!AE18)," - ")</f>
        <v>44</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0.04</v>
      </c>
      <c r="L18" s="1402">
        <f>IF(ISNUMBER(NºAsuntos!I18/NºAsuntos!G18),(NºAsuntos!I18/NºAsuntos!G18)*11," - ")</f>
        <v>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728</v>
      </c>
      <c r="D23" s="1407">
        <f>SUBTOTAL(9,D16:D22)</f>
        <v>722</v>
      </c>
      <c r="E23" s="1408">
        <f>SUBTOTAL(9,E16:E22)</f>
        <v>310</v>
      </c>
      <c r="F23" s="1408">
        <f>SUBTOTAL(9,F16:F22)</f>
        <v>277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742</v>
      </c>
      <c r="D31" s="1435">
        <f>SUBTOTAL(9,D9:D30)</f>
        <v>736</v>
      </c>
      <c r="E31" s="1436">
        <f>SUBTOTAL(9,E9:E30)</f>
        <v>312</v>
      </c>
      <c r="F31" s="1436">
        <f>SUBTOTAL(9,F9:F30)</f>
        <v>279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XYHD3u6DUwQGGsEXgpYSTVmx9jRHZB4OvfFtU6tsLDTHR8iVdUqXyNJ0BjE5P0ke1WYwXHqwuMIy0kTEt/LTQ==" saltValue="6LgGkSqC1XdMF2+bj8dj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3fUr6Z2mX8IvnbpJfquVpZeYaV9OcTvg5jJlN3hyaPmXH/kbicLdCzPeoaQk2ctOzwfXIludgRFSTTR2tyGbw==" saltValue="Sjo7aPBNuGJAdlgnRKoX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2</v>
      </c>
      <c r="K10" s="194">
        <v>2</v>
      </c>
      <c r="L10" s="194">
        <v>14</v>
      </c>
      <c r="M10" s="194">
        <v>1</v>
      </c>
      <c r="N10" s="194">
        <v>1</v>
      </c>
      <c r="O10" s="194">
        <v>0</v>
      </c>
      <c r="P10" s="194">
        <v>0</v>
      </c>
      <c r="Q10" s="194">
        <v>0</v>
      </c>
      <c r="R10" s="194">
        <v>3</v>
      </c>
      <c r="S10" s="194">
        <v>8</v>
      </c>
      <c r="T10" s="194">
        <v>1</v>
      </c>
      <c r="U10" s="194">
        <v>0</v>
      </c>
      <c r="V10" s="194">
        <v>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1</v>
      </c>
      <c r="BA10" s="139">
        <f t="shared" si="0"/>
        <v>0</v>
      </c>
      <c r="BB10" s="139">
        <f t="shared" si="0"/>
        <v>9</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1630</v>
      </c>
      <c r="J12" s="196">
        <v>308</v>
      </c>
      <c r="K12" s="196">
        <v>277</v>
      </c>
      <c r="L12" s="196">
        <v>1661</v>
      </c>
      <c r="M12" s="196">
        <v>39</v>
      </c>
      <c r="N12" s="196">
        <v>201</v>
      </c>
      <c r="O12" s="194">
        <v>117</v>
      </c>
      <c r="P12" s="196">
        <v>52</v>
      </c>
      <c r="Q12" s="196">
        <v>45</v>
      </c>
      <c r="R12" s="196">
        <v>1086</v>
      </c>
      <c r="S12" s="196">
        <v>1232</v>
      </c>
      <c r="T12" s="196">
        <v>251</v>
      </c>
      <c r="U12" s="196">
        <v>148</v>
      </c>
      <c r="V12" s="196">
        <v>1335</v>
      </c>
      <c r="W12" s="196">
        <v>57</v>
      </c>
      <c r="X12" s="202">
        <v>84</v>
      </c>
      <c r="Y12" s="204">
        <v>48</v>
      </c>
      <c r="Z12" s="194">
        <v>77</v>
      </c>
      <c r="AA12" s="194">
        <v>68</v>
      </c>
      <c r="AB12" s="194">
        <v>57</v>
      </c>
      <c r="AC12" s="196">
        <v>0</v>
      </c>
      <c r="AD12" s="196">
        <v>0</v>
      </c>
      <c r="AE12" s="196">
        <v>0</v>
      </c>
      <c r="AF12" s="202">
        <v>0</v>
      </c>
      <c r="AG12" s="215">
        <v>42</v>
      </c>
      <c r="AH12" s="196">
        <v>72</v>
      </c>
      <c r="AI12" s="196">
        <v>60</v>
      </c>
      <c r="AJ12" s="216">
        <v>54</v>
      </c>
      <c r="AK12" s="195">
        <v>0</v>
      </c>
      <c r="AL12" s="196">
        <v>0</v>
      </c>
      <c r="AM12" s="196">
        <v>0</v>
      </c>
      <c r="AN12" s="202">
        <v>0</v>
      </c>
      <c r="AO12" s="283">
        <v>2</v>
      </c>
      <c r="AP12" s="168">
        <v>2</v>
      </c>
      <c r="AQ12" s="168">
        <v>2</v>
      </c>
      <c r="AR12" s="167">
        <v>2</v>
      </c>
      <c r="AS12" s="381" t="s">
        <v>1075</v>
      </c>
      <c r="AT12" s="216"/>
      <c r="AU12" s="215"/>
      <c r="AV12" s="216"/>
      <c r="AW12" s="215"/>
      <c r="AX12" s="216"/>
      <c r="AY12" s="136">
        <f t="shared" si="1"/>
        <v>1274</v>
      </c>
      <c r="AZ12" s="137">
        <f t="shared" si="1"/>
        <v>323</v>
      </c>
      <c r="BA12" s="137">
        <f t="shared" si="1"/>
        <v>208</v>
      </c>
      <c r="BB12" s="137">
        <f t="shared" si="1"/>
        <v>1389</v>
      </c>
      <c r="BC12" s="135">
        <f>IF(ISNUMBER(X12),X12," - ")</f>
        <v>84</v>
      </c>
      <c r="BD12" s="136">
        <f t="shared" si="2"/>
        <v>0.64396284829721362</v>
      </c>
      <c r="BE12" s="137">
        <f t="shared" si="3"/>
        <v>6.677884615384615</v>
      </c>
      <c r="BF12" s="137">
        <f t="shared" si="4"/>
        <v>0.40384615384615385</v>
      </c>
      <c r="BG12" s="209">
        <f t="shared" si="5"/>
        <v>7.677884615384615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1644</v>
      </c>
      <c r="J14" s="197">
        <f t="shared" si="7"/>
        <v>310</v>
      </c>
      <c r="K14" s="197">
        <f t="shared" si="7"/>
        <v>279</v>
      </c>
      <c r="L14" s="197">
        <f t="shared" si="7"/>
        <v>1675</v>
      </c>
      <c r="M14" s="197">
        <f t="shared" si="7"/>
        <v>40</v>
      </c>
      <c r="N14" s="197">
        <f t="shared" si="7"/>
        <v>202</v>
      </c>
      <c r="O14" s="197">
        <f t="shared" si="7"/>
        <v>117</v>
      </c>
      <c r="P14" s="197">
        <f t="shared" si="7"/>
        <v>52</v>
      </c>
      <c r="Q14" s="197">
        <f t="shared" si="7"/>
        <v>45</v>
      </c>
      <c r="R14" s="197">
        <f t="shared" si="7"/>
        <v>1089</v>
      </c>
      <c r="S14" s="197">
        <f t="shared" si="7"/>
        <v>1240</v>
      </c>
      <c r="T14" s="197">
        <f t="shared" si="7"/>
        <v>252</v>
      </c>
      <c r="U14" s="197">
        <f t="shared" si="7"/>
        <v>148</v>
      </c>
      <c r="V14" s="197">
        <f t="shared" si="7"/>
        <v>1344</v>
      </c>
      <c r="W14" s="197">
        <f t="shared" si="7"/>
        <v>57</v>
      </c>
      <c r="X14" s="197">
        <f t="shared" si="7"/>
        <v>84</v>
      </c>
      <c r="Y14" s="197">
        <f t="shared" si="7"/>
        <v>48</v>
      </c>
      <c r="Z14" s="197">
        <f t="shared" si="7"/>
        <v>77</v>
      </c>
      <c r="AA14" s="197">
        <f t="shared" si="7"/>
        <v>68</v>
      </c>
      <c r="AB14" s="197">
        <f t="shared" si="7"/>
        <v>57</v>
      </c>
      <c r="AC14" s="197">
        <f t="shared" si="7"/>
        <v>0</v>
      </c>
      <c r="AD14" s="197">
        <f t="shared" si="7"/>
        <v>0</v>
      </c>
      <c r="AE14" s="197">
        <f t="shared" si="7"/>
        <v>0</v>
      </c>
      <c r="AF14" s="197">
        <f>SUBTOTAL(9,AF9:AF13)</f>
        <v>0</v>
      </c>
      <c r="AG14" s="197">
        <f t="shared" ref="AG14:AT14" si="8">SUBTOTAL(9,AG8:AG13)</f>
        <v>42</v>
      </c>
      <c r="AH14" s="197">
        <f t="shared" si="8"/>
        <v>72</v>
      </c>
      <c r="AI14" s="197">
        <f t="shared" si="8"/>
        <v>60</v>
      </c>
      <c r="AJ14" s="197">
        <f t="shared" si="8"/>
        <v>54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1282</v>
      </c>
      <c r="AZ14" s="197">
        <f>SUBTOTAL(9,AZ8:AZ13)</f>
        <v>324</v>
      </c>
      <c r="BA14" s="197">
        <f>SUBTOTAL(9,BA8:BA13)</f>
        <v>208</v>
      </c>
      <c r="BB14" s="197">
        <f>SUBTOTAL(9,BB8:BB13)</f>
        <v>1398</v>
      </c>
      <c r="BC14" s="197">
        <f>SUBTOTAL(9,BC8:BC13)</f>
        <v>84</v>
      </c>
      <c r="BD14" s="219">
        <f>IF(ISNUMBER(BA14/AZ14),BA14/AZ14," - ")</f>
        <v>0.64197530864197527</v>
      </c>
      <c r="BE14" s="220">
        <f>IF(ISNUMBER(BB14/BA14),BB14/BA14, " - ")</f>
        <v>6.7211538461538458</v>
      </c>
      <c r="BF14" s="220">
        <f>IF(ISNUMBER(BC14/BA14),BC14/BA14, " - ")</f>
        <v>0.40384615384615385</v>
      </c>
      <c r="BG14" s="221">
        <f>IF(ISNUMBER((AY14+AZ14)/BA14),(AY14+AZ14)/BA14," - ")</f>
        <v>7.7211538461538458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672</v>
      </c>
      <c r="J17" s="196">
        <v>264</v>
      </c>
      <c r="K17" s="196">
        <v>233</v>
      </c>
      <c r="L17" s="196">
        <v>709</v>
      </c>
      <c r="M17" s="196">
        <v>30</v>
      </c>
      <c r="N17" s="196">
        <v>116</v>
      </c>
      <c r="O17" s="194">
        <v>1</v>
      </c>
      <c r="P17" s="196">
        <v>1</v>
      </c>
      <c r="Q17" s="196">
        <v>1</v>
      </c>
      <c r="R17" s="196">
        <v>35</v>
      </c>
      <c r="S17" s="196">
        <v>655</v>
      </c>
      <c r="T17" s="196">
        <v>297</v>
      </c>
      <c r="U17" s="196">
        <v>296</v>
      </c>
      <c r="V17" s="196">
        <v>662</v>
      </c>
      <c r="W17" s="196">
        <v>38</v>
      </c>
      <c r="X17" s="202">
        <v>199</v>
      </c>
      <c r="Y17" s="215">
        <v>0</v>
      </c>
      <c r="Z17" s="196">
        <v>0</v>
      </c>
      <c r="AA17" s="196">
        <v>0</v>
      </c>
      <c r="AB17" s="196">
        <v>0</v>
      </c>
      <c r="AC17" s="196">
        <v>0</v>
      </c>
      <c r="AD17" s="196">
        <v>3</v>
      </c>
      <c r="AE17" s="196">
        <v>3</v>
      </c>
      <c r="AF17" s="202">
        <v>0</v>
      </c>
      <c r="AG17" s="215">
        <v>0</v>
      </c>
      <c r="AH17" s="196">
        <v>0</v>
      </c>
      <c r="AI17" s="196">
        <v>0</v>
      </c>
      <c r="AJ17" s="216">
        <v>0</v>
      </c>
      <c r="AK17" s="195">
        <v>1</v>
      </c>
      <c r="AL17" s="196">
        <v>0</v>
      </c>
      <c r="AM17" s="196">
        <v>1</v>
      </c>
      <c r="AN17" s="202">
        <v>0</v>
      </c>
      <c r="AO17" s="283">
        <v>2</v>
      </c>
      <c r="AP17" s="168">
        <v>2</v>
      </c>
      <c r="AQ17" s="168">
        <v>2</v>
      </c>
      <c r="AR17" s="168">
        <v>2</v>
      </c>
      <c r="AS17" s="381" t="s">
        <v>650</v>
      </c>
      <c r="AT17" s="216"/>
      <c r="AU17" s="215"/>
      <c r="AV17" s="216"/>
      <c r="AW17" s="215"/>
      <c r="AX17" s="216"/>
      <c r="AY17" s="136">
        <f t="shared" si="10"/>
        <v>655</v>
      </c>
      <c r="AZ17" s="137">
        <f t="shared" si="10"/>
        <v>297</v>
      </c>
      <c r="BA17" s="137">
        <f t="shared" si="10"/>
        <v>296</v>
      </c>
      <c r="BB17" s="137">
        <f t="shared" si="10"/>
        <v>662</v>
      </c>
      <c r="BC17" s="135">
        <f>IF(ISNUMBER(W17),W17," - ")</f>
        <v>38</v>
      </c>
      <c r="BD17" s="136">
        <f t="shared" ref="BD17:BD22" si="12">IF(ISNUMBER(BA17/AZ17),BA17/AZ17," - ")</f>
        <v>0.99663299663299665</v>
      </c>
      <c r="BE17" s="137">
        <f t="shared" ref="BE17:BE22" si="13">IF(ISNUMBER(BB17/BA17),BB17/BA17, " - ")</f>
        <v>2.2364864864864864</v>
      </c>
      <c r="BF17" s="137">
        <f t="shared" ref="BF17:BF22" si="14">IF(ISNUMBER(BC17/BA17),BC17/BA17, " - ")</f>
        <v>0.12837837837837837</v>
      </c>
      <c r="BG17" s="209">
        <f t="shared" si="11"/>
        <v>3.2162162162162162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46</v>
      </c>
      <c r="K18" s="196">
        <v>44</v>
      </c>
      <c r="L18" s="196">
        <v>52</v>
      </c>
      <c r="M18" s="196">
        <v>2</v>
      </c>
      <c r="N18" s="196">
        <v>34</v>
      </c>
      <c r="O18" s="196">
        <v>0</v>
      </c>
      <c r="P18" s="196">
        <v>1</v>
      </c>
      <c r="Q18" s="196">
        <v>0</v>
      </c>
      <c r="R18" s="196">
        <v>4</v>
      </c>
      <c r="S18" s="196">
        <v>50</v>
      </c>
      <c r="T18" s="196">
        <v>31</v>
      </c>
      <c r="U18" s="196">
        <v>31</v>
      </c>
      <c r="V18" s="196">
        <v>51</v>
      </c>
      <c r="W18" s="196">
        <v>1</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31</v>
      </c>
      <c r="BA18" s="139">
        <f t="shared" si="15"/>
        <v>31</v>
      </c>
      <c r="BB18" s="139">
        <f t="shared" si="15"/>
        <v>51</v>
      </c>
      <c r="BC18" s="135">
        <f>IF(ISNUMBER(W18),W18," - ")</f>
        <v>1</v>
      </c>
      <c r="BD18" s="136">
        <f>IF(ISNUMBER(BA18/AZ18),BA18/AZ18," - ")</f>
        <v>1</v>
      </c>
      <c r="BE18" s="137">
        <f>IF(ISNUMBER(BB18/BA18),BB18/BA18, " - ")</f>
        <v>1.6451612903225807</v>
      </c>
      <c r="BF18" s="137">
        <f>IF(ISNUMBER(BC18/BA18),BC18/BA18, " - ")</f>
        <v>3.2258064516129031E-2</v>
      </c>
      <c r="BG18" s="209">
        <f>IF(ISNUMBER((AY18+AZ18)/BA18),(AY18+AZ18)/BA18," - ")</f>
        <v>2.6129032258064515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722</v>
      </c>
      <c r="J23" s="197">
        <f t="shared" si="21"/>
        <v>310</v>
      </c>
      <c r="K23" s="197">
        <f t="shared" si="21"/>
        <v>277</v>
      </c>
      <c r="L23" s="197">
        <f t="shared" si="21"/>
        <v>761</v>
      </c>
      <c r="M23" s="197">
        <f t="shared" si="21"/>
        <v>32</v>
      </c>
      <c r="N23" s="197">
        <f t="shared" si="21"/>
        <v>150</v>
      </c>
      <c r="O23" s="197">
        <f t="shared" si="21"/>
        <v>1</v>
      </c>
      <c r="P23" s="197">
        <f t="shared" si="21"/>
        <v>2</v>
      </c>
      <c r="Q23" s="197">
        <f t="shared" si="21"/>
        <v>1</v>
      </c>
      <c r="R23" s="197">
        <f t="shared" si="21"/>
        <v>39</v>
      </c>
      <c r="S23" s="197">
        <f t="shared" si="21"/>
        <v>705</v>
      </c>
      <c r="T23" s="197">
        <f t="shared" si="21"/>
        <v>328</v>
      </c>
      <c r="U23" s="197">
        <f t="shared" si="21"/>
        <v>327</v>
      </c>
      <c r="V23" s="197">
        <f t="shared" si="21"/>
        <v>713</v>
      </c>
      <c r="W23" s="197">
        <f t="shared" si="21"/>
        <v>39</v>
      </c>
      <c r="X23" s="197">
        <f t="shared" si="21"/>
        <v>214</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705</v>
      </c>
      <c r="AZ23" s="197">
        <f>SUBTOTAL(9,AZ15:AZ22)</f>
        <v>328</v>
      </c>
      <c r="BA23" s="197">
        <f>SUBTOTAL(9,BA15:BA22)</f>
        <v>327</v>
      </c>
      <c r="BB23" s="197">
        <f>SUBTOTAL(9,BB15:BB22)</f>
        <v>713</v>
      </c>
      <c r="BC23" s="197">
        <f>SUBTOTAL(9,BC15:BC22)</f>
        <v>39</v>
      </c>
      <c r="BD23" s="219">
        <f>IF(ISNUMBER(BA23/AZ23),BA23/AZ23," - ")</f>
        <v>0.99695121951219512</v>
      </c>
      <c r="BE23" s="220">
        <f>IF(ISNUMBER(BB23/BA23),BB23/BA23, " - ")</f>
        <v>2.1804281345565748</v>
      </c>
      <c r="BF23" s="220">
        <f>IF(ISNUMBER(BC23/BA23),BC23/BA23, " - ")</f>
        <v>0.11926605504587157</v>
      </c>
      <c r="BG23" s="221">
        <f>IF(ISNUMBER((AY23+AZ23)/BA23),(AY23+AZ23)/BA23," - ")</f>
        <v>3.1590214067278288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2366</v>
      </c>
      <c r="J31" s="144">
        <f t="shared" si="36"/>
        <v>620</v>
      </c>
      <c r="K31" s="144">
        <f t="shared" si="36"/>
        <v>556</v>
      </c>
      <c r="L31" s="144">
        <f t="shared" si="36"/>
        <v>2436</v>
      </c>
      <c r="M31" s="144">
        <f t="shared" si="36"/>
        <v>72</v>
      </c>
      <c r="N31" s="144">
        <f t="shared" si="36"/>
        <v>352</v>
      </c>
      <c r="O31" s="144">
        <f t="shared" si="36"/>
        <v>118</v>
      </c>
      <c r="P31" s="144">
        <f t="shared" si="36"/>
        <v>54</v>
      </c>
      <c r="Q31" s="144">
        <f t="shared" si="36"/>
        <v>46</v>
      </c>
      <c r="R31" s="144">
        <f t="shared" si="36"/>
        <v>1128</v>
      </c>
      <c r="S31" s="144">
        <f t="shared" si="36"/>
        <v>1945</v>
      </c>
      <c r="T31" s="144">
        <f t="shared" si="36"/>
        <v>580</v>
      </c>
      <c r="U31" s="144">
        <f t="shared" si="36"/>
        <v>475</v>
      </c>
      <c r="V31" s="144">
        <f t="shared" si="36"/>
        <v>2057</v>
      </c>
      <c r="W31" s="144">
        <f t="shared" si="36"/>
        <v>96</v>
      </c>
      <c r="X31" s="144">
        <f t="shared" si="36"/>
        <v>298</v>
      </c>
      <c r="Y31" s="144">
        <f t="shared" si="36"/>
        <v>48</v>
      </c>
      <c r="Z31" s="144">
        <f t="shared" si="36"/>
        <v>77</v>
      </c>
      <c r="AA31" s="144">
        <f t="shared" si="36"/>
        <v>68</v>
      </c>
      <c r="AB31" s="144">
        <f t="shared" si="36"/>
        <v>57</v>
      </c>
      <c r="AC31" s="144">
        <f t="shared" si="36"/>
        <v>0</v>
      </c>
      <c r="AD31" s="144">
        <f t="shared" si="36"/>
        <v>3</v>
      </c>
      <c r="AE31" s="144">
        <f t="shared" si="36"/>
        <v>3</v>
      </c>
      <c r="AF31" s="144">
        <f t="shared" si="36"/>
        <v>0</v>
      </c>
      <c r="AG31" s="144">
        <f t="shared" si="36"/>
        <v>42</v>
      </c>
      <c r="AH31" s="144">
        <f t="shared" si="36"/>
        <v>72</v>
      </c>
      <c r="AI31" s="144">
        <f t="shared" si="36"/>
        <v>60</v>
      </c>
      <c r="AJ31" s="144">
        <f t="shared" si="36"/>
        <v>54</v>
      </c>
      <c r="AK31" s="144">
        <f t="shared" si="36"/>
        <v>1</v>
      </c>
      <c r="AL31" s="144">
        <f t="shared" si="36"/>
        <v>0</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1987</v>
      </c>
      <c r="AZ31" s="144">
        <f>SUBTOTAL(9,AZ9:AZ30)</f>
        <v>652</v>
      </c>
      <c r="BA31" s="144">
        <f>SUBTOTAL(9,BA9:BA30)</f>
        <v>535</v>
      </c>
      <c r="BB31" s="144">
        <f>SUBTOTAL(9,BB9:BB30)</f>
        <v>2111</v>
      </c>
      <c r="BC31" s="145">
        <f>SUBTOTAL(9,BC9:BC30)</f>
        <v>123</v>
      </c>
      <c r="BD31" s="227">
        <f>IF(ISNUMBER(BA31/AZ31),BA31/AZ31," - ")</f>
        <v>0.82055214723926384</v>
      </c>
      <c r="BE31" s="224">
        <f>IF(ISNUMBER(BB31/BA31),BB31/BA31, " - ")</f>
        <v>3.9457943925233643</v>
      </c>
      <c r="BF31" s="224">
        <f>IF(ISNUMBER(BC31/BA31),BC31/BA31, " - ")</f>
        <v>0.22990654205607478</v>
      </c>
      <c r="BG31" s="145">
        <f>IF(ISNUMBER((AY31+AZ31)/BA31),(AY31+AZ31)/BA31," - ")</f>
        <v>4.9327102803738319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baNsaQgkVy5slMjhyVfpvrHXka/HP1NLLxLk+I/5e0sHVWkp4IoTwQJfqShzVb1cuTTTmFSL9HpFS/RdIOThg==" saltValue="E1wtjlz4dQiElNC52X9d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nvK//O2PR1XzG5q7A2lRGSo/8fi8uj2c4p4wliuUNCF0S9JDikBOahQdhFZxryGzdEgsYY7sgEMKM0Q0hGHSw==" saltValue="sI5OPnbKl4xjpZqI0rhx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TORRELAGUNA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14</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77</v>
      </c>
      <c r="O12" s="549"/>
      <c r="P12" s="549"/>
      <c r="Q12" s="547">
        <f>IF(ISNUMBER(Datos!P12),Datos!P12,0)</f>
        <v>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57</v>
      </c>
      <c r="AI12" s="549" t="str">
        <f>IF(ISNUMBER(Datos!CD12),Datos!CD12,"-")</f>
        <v>-</v>
      </c>
      <c r="AJ12" s="549" t="str">
        <f>IF(ISNUMBER(Datos!EN12),Datos!EN12," - ")</f>
        <v xml:space="preserve"> - </v>
      </c>
      <c r="AK12" s="549"/>
      <c r="AL12" s="550"/>
      <c r="AM12" s="766">
        <f>IF(ISNUMBER(Datos!R12),Datos!R12," - ")</f>
        <v>1086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v>
      </c>
      <c r="BD12" s="693">
        <f>IF(ISNUMBER(Datos!N12),Datos!N12," - ")</f>
        <v>201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0.89610389610389607</v>
      </c>
      <c r="BH12" s="764">
        <f>IF(ISNUMBER(((IF(J_V="SI",Datos!L12/Datos!K12,(Datos!L12+Datos!AB12)/(Datos!K12+Datos!AA12)))*11)/factor_trimestre),((IF(J_V="SI",Datos!L12/Datos!K12,(Datos!L12+Datos!AB12)/(Datos!K12+Datos!AA12)))*11)/factor_trimestre," - ")</f>
        <v>14.93913043478261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6.4874884151992582E-3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77</v>
      </c>
      <c r="O14" s="1199">
        <f t="shared" si="1"/>
        <v>0</v>
      </c>
      <c r="P14" s="1199">
        <f t="shared" si="1"/>
        <v>0</v>
      </c>
      <c r="Q14" s="1198">
        <f t="shared" si="1"/>
        <v>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45</v>
      </c>
      <c r="AD14" s="1198">
        <f t="shared" si="2"/>
        <v>0</v>
      </c>
      <c r="AE14" s="1198">
        <f t="shared" si="2"/>
        <v>0</v>
      </c>
      <c r="AF14" s="1198">
        <f t="shared" si="2"/>
        <v>14</v>
      </c>
      <c r="AG14" s="1198">
        <f t="shared" si="2"/>
        <v>0</v>
      </c>
      <c r="AH14" s="1198">
        <f t="shared" si="2"/>
        <v>57</v>
      </c>
      <c r="AI14" s="1198">
        <f t="shared" si="2"/>
        <v>0</v>
      </c>
      <c r="AJ14" s="1198">
        <f t="shared" si="2"/>
        <v>0</v>
      </c>
      <c r="AK14" s="1198">
        <f t="shared" si="2"/>
        <v>0</v>
      </c>
      <c r="AL14" s="1198">
        <f t="shared" si="2"/>
        <v>0</v>
      </c>
      <c r="AM14" s="1198">
        <f t="shared" si="2"/>
        <v>1089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v>
      </c>
      <c r="BD14" s="1198">
        <f t="shared" si="2"/>
        <v>202</v>
      </c>
      <c r="BE14" s="1198">
        <f t="shared" si="2"/>
        <v>0</v>
      </c>
      <c r="BF14" s="1198">
        <f t="shared" si="2"/>
        <v>0</v>
      </c>
      <c r="BG14" s="1198">
        <f>IF(ISNUMBER(Datos!K14/Datos!J14),Datos!K14/Datos!J14," - ")</f>
        <v>0.9</v>
      </c>
      <c r="BH14" s="1202">
        <f>IF(ISNUMBER(((Datos!L14/Datos!K14)*11)/factor_trimestre),((Datos!L14/Datos!K14)*11)/factor_trimestre," - ")</f>
        <v>18.010752688172044</v>
      </c>
      <c r="BI14" s="1198">
        <f>IF(ISNUMBER('Resol  Asuntos'!D14/NºAsuntos!G14),'Resol  Asuntos'!D14/NºAsuntos!G14," - ")</f>
        <v>0.11527377521613832</v>
      </c>
      <c r="BJ14" s="1198" t="str">
        <f>IF(ISNUMBER(Datos!CI14/Datos!CJ14),Datos!CI14/Datos!CJ14," - ")</f>
        <v xml:space="preserve"> - </v>
      </c>
      <c r="BK14" s="1198">
        <f>SUBTOTAL(9,BK8:BK13)</f>
        <v>0</v>
      </c>
      <c r="BL14" s="1198">
        <f>IF(ISNUMBER((I14-AB14+L14)/(F14)),(I14-AB14+L14)/(F14)," - ")</f>
        <v>-0.14285714285714285</v>
      </c>
      <c r="BM14" s="1203">
        <f>SUBTOTAL(9,BM9:BM13)</f>
        <v>6.4874884151992582E-3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678</v>
      </c>
      <c r="G17" s="743">
        <f>IF(ISNUMBER(IF(D_I="SI",Datos!I17,Datos!I17+Datos!AC17)),IF(D_I="SI",Datos!I17,Datos!I17+Datos!AC17)," - ")</f>
        <v>672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233</v>
      </c>
      <c r="AC17" s="240">
        <f>IF(ISNUMBER(Datos!Q17),Datos!Q17," - ")</f>
        <v>1</v>
      </c>
      <c r="AD17" s="374"/>
      <c r="AE17" s="562"/>
      <c r="AF17" s="741">
        <f>IF(ISNUMBER(IF(D_I="SI",Datos!L17,Datos!L17+Datos!AF17)),IF(D_I="SI",Datos!L17,Datos!L17+Datos!AF17)," - ")</f>
        <v>709</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116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0.88257575757575757</v>
      </c>
      <c r="BH17" s="764">
        <f>IF(ISNUMBER(((IF(D_I="SI",Datos!L17/Datos!K17,(Datos!L17+Datos!AF17)/(Datos!K17+Datos!AE17)))*11)/factor_trimestre),((IF(D_I="SI",Datos!L17/Datos!K17,(Datos!L17+Datos!AF17)/(Datos!K17+Datos!AE17)))*11)/factor_trimestre," - ")</f>
        <v>9.1287553648068673</v>
      </c>
      <c r="BI17" s="266">
        <f>IF(ISNUMBER('Resol  Asuntos'!D17/NºAsuntos!G17),'Resol  Asuntos'!D17/NºAsuntos!G17," - ")</f>
        <v>0.12875536480686695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0</v>
      </c>
      <c r="AD18" s="549"/>
      <c r="AE18" s="562"/>
      <c r="AF18" s="551">
        <f>IF(ISNUMBER(Datos!L18),Datos!L18,"-")</f>
        <v>52</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0.95652173913043481</v>
      </c>
      <c r="BH18" s="764">
        <f>IF(ISNUMBER(((IF(D_I="SI",Datos!L18/Datos!K18,(Datos!L18+Datos!AF18)/(Datos!K18+Datos!AE18)))*11)/factor_trimestre),((IF(D_I="SI",Datos!L18/Datos!K18,(Datos!L18+Datos!AF18)/(Datos!K18+Datos!AE18)))*11)/factor_trimestre," - ")</f>
        <v>3.5454545454545454</v>
      </c>
      <c r="BI18" s="763">
        <f>IF(ISNUMBER('Resol  Asuntos'!D18/NºAsuntos!G18),'Resol  Asuntos'!D18/NºAsuntos!G18," - ")</f>
        <v>4.5454545454545456E-2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678</v>
      </c>
      <c r="G23" s="1197">
        <f>SUBTOTAL(9,G16:G22)</f>
        <v>722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277</v>
      </c>
      <c r="AC23" s="1198">
        <f t="shared" si="5"/>
        <v>1</v>
      </c>
      <c r="AD23" s="1198">
        <f t="shared" si="5"/>
        <v>0</v>
      </c>
      <c r="AE23" s="1198">
        <f t="shared" si="5"/>
        <v>0</v>
      </c>
      <c r="AF23" s="1198">
        <f t="shared" si="5"/>
        <v>761</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150</v>
      </c>
      <c r="BE23" s="1198">
        <f t="shared" si="5"/>
        <v>0</v>
      </c>
      <c r="BF23" s="1198">
        <f t="shared" si="5"/>
        <v>0</v>
      </c>
      <c r="BG23" s="1198">
        <f>IF(ISNUMBER(Datos!K23/Datos!J23),Datos!K23/Datos!J23," - ")</f>
        <v>0.8935483870967742</v>
      </c>
      <c r="BH23" s="1202">
        <f>IF(ISNUMBER(((Datos!L23/Datos!K23)*11)/factor_trimestre),((Datos!L23/Datos!K23)*11)/factor_trimestre," - ")</f>
        <v>8.2418772563176894</v>
      </c>
      <c r="BI23" s="1198">
        <f>SUBTOTAL(9,BI16:BI22)</f>
        <v>0.17420991026141242</v>
      </c>
      <c r="BJ23" s="1198">
        <f>SUBTOTAL(9,BJ16:BJ22)</f>
        <v>0</v>
      </c>
      <c r="BK23" s="1198">
        <f>SUBTOTAL(9,BK16:BK22)</f>
        <v>0</v>
      </c>
      <c r="BL23" s="1198">
        <f>IF(ISNUMBER((I23-AB23+L23)/(F23)),(I23-AB23+L23)/(F23)," - ")</f>
        <v>-0.40855457227138642</v>
      </c>
      <c r="BM23" s="1205">
        <f>IF(ISNUMBER((Datos!P23-Datos!Q23)/(Datos!R23-Datos!P23+Datos!Q23)),(Datos!P23-Datos!Q23)/(Datos!R23-Datos!P23+Datos!Q23)," - ")</f>
        <v>2.6315789473684209E-2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692</v>
      </c>
      <c r="G31" s="1117">
        <f t="shared" si="18"/>
        <v>736</v>
      </c>
      <c r="H31" s="1119">
        <f t="shared" si="18"/>
        <v>0</v>
      </c>
      <c r="I31" s="1117">
        <f t="shared" si="18"/>
        <v>0</v>
      </c>
      <c r="J31" s="1119">
        <f t="shared" si="18"/>
        <v>0</v>
      </c>
      <c r="K31" s="1119">
        <f t="shared" si="18"/>
        <v>0</v>
      </c>
      <c r="L31" s="1180">
        <f t="shared" si="18"/>
        <v>0</v>
      </c>
      <c r="M31" s="1180">
        <f t="shared" si="18"/>
        <v>0</v>
      </c>
      <c r="N31" s="1180">
        <f t="shared" si="18"/>
        <v>77</v>
      </c>
      <c r="O31" s="1180">
        <f t="shared" si="18"/>
        <v>0</v>
      </c>
      <c r="P31" s="1180">
        <f t="shared" si="18"/>
        <v>0</v>
      </c>
      <c r="Q31" s="1119">
        <f t="shared" si="18"/>
        <v>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279</v>
      </c>
      <c r="AC31" s="1118">
        <f t="shared" si="19"/>
        <v>46</v>
      </c>
      <c r="AD31" s="1118">
        <f t="shared" si="19"/>
        <v>0</v>
      </c>
      <c r="AE31" s="1118">
        <f t="shared" si="19"/>
        <v>0</v>
      </c>
      <c r="AF31" s="1125">
        <f t="shared" si="19"/>
        <v>775</v>
      </c>
      <c r="AG31" s="1125">
        <f t="shared" si="19"/>
        <v>0</v>
      </c>
      <c r="AH31" s="1125">
        <f t="shared" si="19"/>
        <v>57</v>
      </c>
      <c r="AI31" s="1125">
        <f t="shared" si="19"/>
        <v>0</v>
      </c>
      <c r="AJ31" s="1118">
        <f t="shared" si="19"/>
        <v>0</v>
      </c>
      <c r="AK31" s="1125">
        <f t="shared" si="19"/>
        <v>0</v>
      </c>
      <c r="AL31" s="1125">
        <f t="shared" si="19"/>
        <v>0</v>
      </c>
      <c r="AM31" s="1125">
        <f t="shared" si="19"/>
        <v>1128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72</v>
      </c>
      <c r="BD31" s="1117">
        <f t="shared" si="19"/>
        <v>352</v>
      </c>
      <c r="BE31" s="1117">
        <f t="shared" si="19"/>
        <v>0</v>
      </c>
      <c r="BF31" s="1127">
        <f t="shared" si="19"/>
        <v>0</v>
      </c>
      <c r="BG31" s="1223">
        <f>IF(ISNUMBER(Datos!K31/Datos!J31),Datos!K31/Datos!J31," - ")</f>
        <v>0.89677419354838706</v>
      </c>
      <c r="BH31" s="1223">
        <f>IF(ISNUMBER(((Datos!L31/Datos!K31)*11)/factor_trimestre),((Datos!L31/Datos!K31)*11)/factor_trimestre," - ")</f>
        <v>13.143884892086334</v>
      </c>
      <c r="BI31" s="1103">
        <f>IF(ISNUMBER(Datos!J31/Datos!I31),Datos!J31/Datos!I31," - ")</f>
        <v>0.26204564666103125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-0.40317919075144509</v>
      </c>
      <c r="BM31" s="1188">
        <f>IF(ISNUMBER((Datos!P31-Datos!Q31+R31)/(Datos!R31-Datos!P31+Datos!Q31-R31)),(Datos!P31-Datos!Q31+R31)/(Datos!R31-Datos!P31+Datos!Q31-R31)," - ")</f>
        <v>7.1428571428571426E-3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346.55947060593604</v>
      </c>
      <c r="G33" s="674">
        <f>IF(ISNUMBER(STDEV(G8:G30)),STDEV(G8:G30),"-")</f>
        <v>333.22150505117679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121.43683445275063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18.738806182434814</v>
      </c>
      <c r="BD33" s="673"/>
      <c r="BE33" s="673">
        <f>IF(ISNUMBER(STDEV(BE8:BE30)),STDEV(BE8:BE30),"-")</f>
        <v>0</v>
      </c>
      <c r="BF33" s="678">
        <f>IF(ISNUMBER(STDEV(BF8:BF30)),STDEV(BF8:BF30),"-")</f>
        <v>0</v>
      </c>
      <c r="BG33" s="1052">
        <f>IF(ISNUMBER(STDEV(BG8:BG30)),STDEV(BG8:BG30),"-")</f>
        <v>4.6459365432599424E-2</v>
      </c>
      <c r="BH33" s="1058">
        <f>IF(ISNUMBER(STDEV(BH8:BH30)),STDEV(BH8:BH30),"-")</f>
        <v>6.6067471945322769</v>
      </c>
      <c r="BI33" s="273">
        <f>IF(ISNUMBER(STDEV(BI8:BI30)),STDEV(BI8:BI30),"-")</f>
        <v>5.3317470784495634E-2</v>
      </c>
      <c r="BJ33" s="244" t="str">
        <f>IF(ISNUMBER(BL33/BM33),BL33/BM33," - ")</f>
        <v xml:space="preserve"> - </v>
      </c>
      <c r="BK33" s="709"/>
      <c r="BL33" s="681">
        <f>IF(ISNUMBER(STDEV(BL8:BL30)),STDEV(BL8:BL30),"-")</f>
        <v>0.18787645408264564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ktxHgw2pmO+Fv/8z2qvGOa1zLYdTYG1hdS5XLggQHhnNv+I3d9GHCbHuTB0+3y2Adkj52VrLtniET4vw/7E2Q==" saltValue="py+p5rHrSmiRRxjMCJXZ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TORRELAGUNA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14</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45</v>
      </c>
      <c r="AA12" s="551" t="str">
        <f>IF(ISNUMBER(IF(J_V="SI",Datos!L12,Datos!L12+Datos!AB12)-IF(Monitorios="SI",Datos!CD12,0)),
                          IF(J_V="SI",Datos!L12,Datos!L12+Datos!AB12)-IF(Monitorios="SI",Datos!CD12,0),
                          " - ")</f>
        <v xml:space="preserve"> - </v>
      </c>
      <c r="AB12" s="549"/>
      <c r="AC12" s="549"/>
      <c r="AD12" s="563"/>
      <c r="AE12" s="563">
        <f>IF(ISNUMBER(Datos!R12),Datos!R12," - ")</f>
        <v>1086</v>
      </c>
      <c r="AF12" s="693" t="str">
        <f>IF(ISNUMBER(Datos!BV12),Datos!BV12," - ")</f>
        <v xml:space="preserve"> - </v>
      </c>
      <c r="AG12" s="552" t="str">
        <f>IF(ISNUMBER(Datos!DV12),Datos!DV12," - ")</f>
        <v xml:space="preserve"> - </v>
      </c>
      <c r="AH12" s="553"/>
      <c r="AI12" s="554"/>
      <c r="AJ12" s="552">
        <f>IF(ISNUMBER(Datos!M12),Datos!M12," - ")</f>
        <v>39</v>
      </c>
      <c r="AK12" s="693">
        <f>IF(ISNUMBER(Datos!N12),Datos!N12," - ")</f>
        <v>201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14.93913043478261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6.4874884151992582E-3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45</v>
      </c>
      <c r="AA14" s="1199">
        <f t="shared" si="3"/>
        <v>14</v>
      </c>
      <c r="AB14" s="1199">
        <f t="shared" si="3"/>
        <v>0</v>
      </c>
      <c r="AC14" s="1199">
        <f t="shared" si="3"/>
        <v>0</v>
      </c>
      <c r="AD14" s="1199">
        <f t="shared" si="3"/>
        <v>0</v>
      </c>
      <c r="AE14" s="1199">
        <f t="shared" si="3"/>
        <v>1089</v>
      </c>
      <c r="AF14" s="1211">
        <f t="shared" si="3"/>
        <v>0</v>
      </c>
      <c r="AG14" s="1211">
        <f t="shared" si="3"/>
        <v>0</v>
      </c>
      <c r="AH14" s="1211">
        <f t="shared" si="3"/>
        <v>0</v>
      </c>
      <c r="AI14" s="1211">
        <f t="shared" si="3"/>
        <v>0</v>
      </c>
      <c r="AJ14" s="1211">
        <f t="shared" si="3"/>
        <v>40</v>
      </c>
      <c r="AK14" s="1211">
        <f t="shared" si="3"/>
        <v>202</v>
      </c>
      <c r="AL14" s="1211">
        <f t="shared" si="3"/>
        <v>0</v>
      </c>
      <c r="AM14" s="1211">
        <f t="shared" si="3"/>
        <v>0</v>
      </c>
      <c r="AN14" s="1211">
        <f t="shared" si="3"/>
        <v>0</v>
      </c>
      <c r="AO14" s="1203">
        <f>IF(ISNUMBER(((NºAsuntos!I14/NºAsuntos!G14)*11)/factor_trimestre),((NºAsuntos!I14/NºAsuntos!G14)*11)/factor_trimestre," - ")</f>
        <v>14.97406340057637</v>
      </c>
      <c r="AP14" s="1213" t="str">
        <f>IF(ISNUMBER(Datos!CI14/Datos!CJ14),Datos!CI14/Datos!CJ14," - ")</f>
        <v xml:space="preserve"> - </v>
      </c>
      <c r="AQ14" s="1236">
        <f t="shared" ref="AQ14:AV14" si="4">SUBTOTAL(9,AQ9:AQ13)</f>
        <v>0</v>
      </c>
      <c r="AR14" s="1236">
        <f t="shared" si="4"/>
        <v>6.4874884151992582E-3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678</v>
      </c>
      <c r="G17" s="552">
        <f>IF(ISNUMBER(IF(D_I="SI",Datos!I17,Datos!I17+Datos!AC17)),IF(D_I="SI",Datos!I17,Datos!I17+Datos!AC17)," - ")</f>
        <v>672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233</v>
      </c>
      <c r="Z17" s="805">
        <f>IF(ISNUMBER(Datos!Q17),Datos!Q17," - ")</f>
        <v>1</v>
      </c>
      <c r="AA17" s="551">
        <f>IF(ISNUMBER(IF(D_I="SI",Datos!L17,Datos!L17+Datos!AF17)),IF(D_I="SI",Datos!L17,Datos!L17+Datos!AF17)," - ")</f>
        <v>709</v>
      </c>
      <c r="AB17" s="549"/>
      <c r="AC17" s="549"/>
      <c r="AD17" s="563"/>
      <c r="AE17" s="563">
        <f>IF(ISNUMBER(Datos!R17),Datos!R17," - ")</f>
        <v>35</v>
      </c>
      <c r="AF17" s="693" t="str">
        <f>IF(ISNUMBER(Datos!BV17),Datos!BV17," - ")</f>
        <v xml:space="preserve"> - </v>
      </c>
      <c r="AG17" s="552"/>
      <c r="AH17" s="553"/>
      <c r="AI17" s="554"/>
      <c r="AJ17" s="552">
        <f>IF(ISNUMBER(Datos!M17),Datos!M17," - ")</f>
        <v>30</v>
      </c>
      <c r="AK17" s="693">
        <f>IF(ISNUMBER(Datos!N17),Datos!N17," - ")</f>
        <v>116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9.1287553648068673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0</v>
      </c>
      <c r="AA18" s="551">
        <f>IF(ISNUMBER(Datos!L18),Datos!L18,"-")</f>
        <v>52</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v>
      </c>
      <c r="AK18" s="693">
        <f>IF(ISNUMBER(Datos!N18),Datos!N18," - ")</f>
        <v>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3.5454545454545454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678</v>
      </c>
      <c r="G23" s="1197">
        <f>SUBTOTAL(9,G16:G22)</f>
        <v>722</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277</v>
      </c>
      <c r="Z23" s="1240">
        <f t="shared" si="6"/>
        <v>1</v>
      </c>
      <c r="AA23" s="1240">
        <f t="shared" si="6"/>
        <v>761</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32</v>
      </c>
      <c r="AK23" s="1240">
        <f t="shared" si="6"/>
        <v>150</v>
      </c>
      <c r="AL23" s="1240">
        <f t="shared" si="6"/>
        <v>0</v>
      </c>
      <c r="AM23" s="1240">
        <f t="shared" si="6"/>
        <v>0</v>
      </c>
      <c r="AN23" s="1240">
        <f t="shared" si="6"/>
        <v>0</v>
      </c>
      <c r="AO23" s="1242">
        <f>IF(ISNUMBER(((NºAsuntos!I23/NºAsuntos!G23)*11)/factor_trimestre),((NºAsuntos!I23/NºAsuntos!G23)*11)/factor_trimestre," - ")</f>
        <v>8.2418772563176894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692</v>
      </c>
      <c r="G31" s="1117">
        <f t="shared" si="12"/>
        <v>736</v>
      </c>
      <c r="H31" s="1118">
        <f t="shared" si="12"/>
        <v>0</v>
      </c>
      <c r="I31" s="1117">
        <f t="shared" si="12"/>
        <v>0</v>
      </c>
      <c r="J31" s="1119">
        <f t="shared" si="12"/>
        <v>0</v>
      </c>
      <c r="K31" s="1117">
        <f t="shared" si="12"/>
        <v>0</v>
      </c>
      <c r="L31" s="1120">
        <f t="shared" si="12"/>
        <v>0</v>
      </c>
      <c r="M31" s="1117">
        <f t="shared" si="12"/>
        <v>0</v>
      </c>
      <c r="N31" s="1118">
        <f t="shared" si="12"/>
        <v>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279</v>
      </c>
      <c r="Z31" s="1124">
        <f t="shared" si="13"/>
        <v>46</v>
      </c>
      <c r="AA31" s="1125">
        <f t="shared" si="13"/>
        <v>775</v>
      </c>
      <c r="AB31" s="1125">
        <f t="shared" si="13"/>
        <v>0</v>
      </c>
      <c r="AC31" s="1125">
        <f t="shared" si="13"/>
        <v>0</v>
      </c>
      <c r="AD31" s="1126">
        <f t="shared" si="13"/>
        <v>0</v>
      </c>
      <c r="AE31" s="1126">
        <f t="shared" si="13"/>
        <v>1128</v>
      </c>
      <c r="AF31" s="1127">
        <f t="shared" si="13"/>
        <v>0</v>
      </c>
      <c r="AG31" s="1128">
        <f t="shared" si="13"/>
        <v>0</v>
      </c>
      <c r="AH31" s="1129">
        <f t="shared" si="13"/>
        <v>0</v>
      </c>
      <c r="AI31" s="1127">
        <f t="shared" si="13"/>
        <v>0</v>
      </c>
      <c r="AJ31" s="1117">
        <f t="shared" si="13"/>
        <v>72</v>
      </c>
      <c r="AK31" s="1117">
        <f t="shared" si="13"/>
        <v>352</v>
      </c>
      <c r="AL31" s="1117">
        <f t="shared" si="13"/>
        <v>0</v>
      </c>
      <c r="AM31" s="1130">
        <f t="shared" si="13"/>
        <v>0</v>
      </c>
      <c r="AN31" s="1120">
        <f>IF(ISNUMBER(Datos!K31/Datos!J31),Datos!K31/Datos!J31," - ")</f>
        <v>0.89677419354838706</v>
      </c>
      <c r="AO31" s="1120">
        <f>IF(ISNUMBER(FIND("06",Criterios!A8,1)),(IF(ISNUMBER(((Datos!R31/Datos!Q31)*11)/factor_trimestre),((Datos!R31/Datos!Q31)*11)/factor_trimestre," - ")),(IF(ISNUMBER(((Datos!L31/Datos!K31)*11)/factor_trimestre),((Datos!L31/Datos!K31)*11)/factor_trimestre," - ")))</f>
        <v>13.143884892086334</v>
      </c>
      <c r="AP31" s="1131" t="str">
        <f>IF(ISNUMBER(Datos!CI31/Datos!CJ31),Datos!CI31/Datos!CJ31," - ")</f>
        <v xml:space="preserve"> - </v>
      </c>
      <c r="AQ31" s="1131">
        <f>IF(OR(ISNUMBER(FIND("01",Criterios!A8,1)),ISNUMBER(FIND("02",Criterios!A8,1)),ISNUMBER(FIND("03",Criterios!A8,1)),ISNUMBER(FIND("04",Criterios!A8,1))),(J31-Y31+K31)/(F31-K31),(I31-Y31+K31)/(F31-K31))</f>
        <v>-0.40317919075144509</v>
      </c>
      <c r="AR31" s="1131">
        <f>IF(ISNUMBER((Datos!P31-Datos!Q31+O31)/(Datos!R31-Datos!P31+Datos!Q31-O31)),(Datos!P31-Datos!Q31+O31)/(Datos!R31-Datos!P31+Datos!Q31-O31)," - ")</f>
        <v>7.1428571428571426E-3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346.55947060593604</v>
      </c>
      <c r="G33" s="674">
        <f>IF(ISNUMBER(STDEV(G8:G30)),STDEV(G8:G30),"-")</f>
        <v>333.22150505117679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18.738806182434814</v>
      </c>
      <c r="AK33" s="276"/>
      <c r="AL33" s="276">
        <f>IF(ISNUMBER(STDEV(AL8:AL30)),STDEV(AL8:AL30),"-")</f>
        <v>0</v>
      </c>
      <c r="AM33" s="278">
        <f>IF(ISNUMBER(STDEV(AM8:AM30)),STDEV(AM8:AM30),"-")</f>
        <v>0</v>
      </c>
      <c r="AN33" s="660">
        <f>IF(ISNUMBER(STDEV(AN8:AN30)),STDEV(AN8:AN30),"-")</f>
        <v>0</v>
      </c>
      <c r="AO33" s="661">
        <f>IF(ISNUMBER(STDEV(AO8:AO30)),STDEV(AO8:AO30),"-")</f>
        <v>6.2020247416782572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Y4upa0UPrtLGlbYYedODO0AceMh+9WXxvJk7dgk0oYk/u9VHbgiWqfz6dlfFdQZGTX5ApIzd5eLVda5w3z/Yg==" saltValue="PwFUfCkZ4PiHrv2/hqPD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Z+u8ekozKRewWN4dTyIRy/r7mEXgF2Fi+LDkwiUNgAi8oJGn225hNtKGr0A8PGG8fhtEZD4Nhy04inhkhVmlA==" saltValue="mkHKonXoWB2yazbwwjLF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NNpK6cxHdpPCROO2VOHdNVq35a2zDepas3FSHBY2ay2Urb5M+N1aZ/U7V/IXqCAVre6F+Z/P4CipjutFwUecg==" saltValue="xEo3qCrDHbMRYNoRkUj4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TORRELAGUNA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0.11527377521613832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8.1510868148305188E-2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RRqS03aGbYyRLR6B0nZFvOLSW/dJHzO4PoFbWwZ343ytpYP/4h/nOtWCNx/gycnlR4XD03fqQ0UO4nHtxbOWg==" saltValue="YAKjVqlVzyTPVxvRBF5o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Zle9lsMPvoFwayIX1VnJiRWs6u+OmeiICRfcbhWSWvNyhMO6j46j9xHAQzLKF19fntPK58ebVTXwQ5HRnq9qQ==" saltValue="qnCGphhprV+pKrIjYN+l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TORRELAGUNA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2</v>
      </c>
      <c r="F10" s="452">
        <f>IF(ISNUMBER(E10/B10),E10/B10," - ")</f>
        <v>2</v>
      </c>
      <c r="G10" s="451">
        <f>IF(ISNUMBER(Datos!K10),Datos!K10," - ")</f>
        <v>2</v>
      </c>
      <c r="H10" s="452">
        <f>IF(ISNUMBER(G10/B10),G10/B10," - ")</f>
        <v>2</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1678</v>
      </c>
      <c r="D12" s="452">
        <f>IF(ISNUMBER(C12/Datos!BH12),C12/Datos!BH12," - ")</f>
        <v>839</v>
      </c>
      <c r="E12" s="451">
        <f>IF(ISNUMBER(IF(J_V="SI",Datos!J12,Datos!J12+Datos!Z12)),IF(J_V="SI",Datos!J12,Datos!J12+Datos!Z12)," - ")</f>
        <v>385</v>
      </c>
      <c r="F12" s="452">
        <f>IF(ISNUMBER(E12/B12),E12/B12," - ")</f>
        <v>192.5</v>
      </c>
      <c r="G12" s="451">
        <f>IF(ISNUMBER(IF(J_V="SI",Datos!K12,Datos!K12+Datos!AA12)),IF(J_V="SI",Datos!K12,Datos!K12+Datos!AA12)," - ")</f>
        <v>345</v>
      </c>
      <c r="H12" s="452">
        <f>IF(ISNUMBER(G12/B12),G12/B12," - ")</f>
        <v>172.5</v>
      </c>
      <c r="I12" s="451">
        <f>IF(ISNUMBER(IF(J_V="SI",Datos!L12,Datos!L12+Datos!AB12)),IF(J_V="SI",Datos!L12,Datos!L12+Datos!AB12)," - ")</f>
        <v>1718</v>
      </c>
      <c r="J12" s="452">
        <f>IF(ISNUMBER(I12/B12),I12/B12," - ")</f>
        <v>859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1692</v>
      </c>
      <c r="D14" s="1147" t="str">
        <f>IF(ISNUMBER(C14/Datos!BI14),C14/Datos!BI14," - ")</f>
        <v xml:space="preserve"> - </v>
      </c>
      <c r="E14" s="1146">
        <f>SUBTOTAL(9,E8:E13)</f>
        <v>387</v>
      </c>
      <c r="F14" s="1147">
        <f>IF(ISNUMBER(E14/B14),E14/B14," - ")</f>
        <v>193.5</v>
      </c>
      <c r="G14" s="1146">
        <f>SUBTOTAL(9,G8:G13)</f>
        <v>347</v>
      </c>
      <c r="H14" s="1147">
        <f>IF(ISNUMBER(G14/B14),G14/B14," - ")</f>
        <v>173.5</v>
      </c>
      <c r="I14" s="1146">
        <f>SUBTOTAL(9,I8:I13)</f>
        <v>1732</v>
      </c>
      <c r="J14" s="1147">
        <f>IF(ISNUMBER(I14/B14),I14/B14," - ")</f>
        <v>866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672</v>
      </c>
      <c r="D17" s="452">
        <f>IF(ISNUMBER(C17/Datos!BH17),C17/Datos!BH17," - ")</f>
        <v>336</v>
      </c>
      <c r="E17" s="451">
        <f>IF(ISNUMBER(IF(D_I="SI",Datos!J17,Datos!J17+Datos!AD17)),IF(D_I="SI",Datos!J17,Datos!J17+Datos!AD17)," - ")</f>
        <v>264</v>
      </c>
      <c r="F17" s="452">
        <f>IF(ISNUMBER(E17/B17),E17/B17," - ")</f>
        <v>132</v>
      </c>
      <c r="G17" s="451">
        <f>IF(ISNUMBER(IF(D_I="SI",Datos!K17,Datos!K17+Datos!AE17)),IF(D_I="SI",Datos!K17,Datos!K17+Datos!AE17)," - ")</f>
        <v>233</v>
      </c>
      <c r="H17" s="452">
        <f>IF(ISNUMBER(G17/B17),G17/B17," - ")</f>
        <v>116.5</v>
      </c>
      <c r="I17" s="451">
        <f>IF(ISNUMBER(IF(D_I="SI",Datos!L17,Datos!L17+Datos!AF17)),IF(D_I="SI",Datos!L17,Datos!L17+Datos!AF17)," - ")</f>
        <v>709</v>
      </c>
      <c r="J17" s="452">
        <f>IF(ISNUMBER(I17/B17),I17/B17," - ")</f>
        <v>354.5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46</v>
      </c>
      <c r="F18" s="452">
        <f>IF(ISNUMBER(E18/B18),E18/B18," - ")</f>
        <v>46</v>
      </c>
      <c r="G18" s="451">
        <f>IF(ISNUMBER(IF(D_I="SI",Datos!K18,Datos!K18+Datos!AE18)),IF(D_I="SI",Datos!K18,Datos!K18+Datos!AE18)," - ")</f>
        <v>44</v>
      </c>
      <c r="H18" s="452">
        <f>IF(ISNUMBER(G18/B18),G18/B18," - ")</f>
        <v>44</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722</v>
      </c>
      <c r="D23" s="1147" t="str">
        <f>IF(ISNUMBER(C23/Datos!BI23),C23/Datos!BI23," - ")</f>
        <v xml:space="preserve"> - </v>
      </c>
      <c r="E23" s="1146">
        <f>SUBTOTAL(9,E15:E22)</f>
        <v>310</v>
      </c>
      <c r="F23" s="1147">
        <f>IF(ISNUMBER(E23/B23),E23/B23," - ")</f>
        <v>155</v>
      </c>
      <c r="G23" s="1146">
        <f>SUBTOTAL(9,G15:G22)</f>
        <v>277</v>
      </c>
      <c r="H23" s="1147">
        <f>IF(ISNUMBER(G23/B23),G23/B23," - ")</f>
        <v>138.5</v>
      </c>
      <c r="I23" s="1146">
        <f>SUBTOTAL(9,I15:I22)</f>
        <v>761</v>
      </c>
      <c r="J23" s="1147">
        <f>IF(ISNUMBER(I23/B23),I23/B23," - ")</f>
        <v>380.5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2414</v>
      </c>
      <c r="D31" s="1085" t="str">
        <f>IF(ISNUMBER(C31/Datos!BI31),C31/Datos!BI31," - ")</f>
        <v xml:space="preserve"> - </v>
      </c>
      <c r="E31" s="1084">
        <f>SUBTOTAL(9,E9:E30)</f>
        <v>697</v>
      </c>
      <c r="F31" s="1085">
        <f>IF(ISNUMBER(E31/B31),E31/B31," - ")</f>
        <v>348.5</v>
      </c>
      <c r="G31" s="1084">
        <f>SUBTOTAL(9,G9:G30)</f>
        <v>624</v>
      </c>
      <c r="H31" s="1085">
        <f>IF(ISNUMBER(G31/B31),G31/B31," - ")</f>
        <v>312</v>
      </c>
      <c r="I31" s="1084">
        <f>SUBTOTAL(9,I9:I30)</f>
        <v>2493</v>
      </c>
      <c r="J31" s="1085">
        <f>IF(ISNUMBER(I31/B31),I31/B31," - ")</f>
        <v>1246.5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3RV34HlxjDqiWyhxBmWNwJugEBEA8GKB4oU/sHgBrtJsCuCfGJnyUDkfUTdD2E1vlLN8R+wRfcd15YsdMEWmg==" saltValue="blmS0O8RWpuAhugouvzD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TORRELAGUNA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v>
      </c>
      <c r="AM12" s="914">
        <f>IF(ISNUMBER(Datos!N12+DatosP!N17),Datos!N12+DatosP!N17," - ")</f>
        <v>201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14.93913043478261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6.4874884151992582E-3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45</v>
      </c>
      <c r="AE14" s="1257">
        <f t="shared" si="1"/>
        <v>0</v>
      </c>
      <c r="AF14" s="1257">
        <f t="shared" si="1"/>
        <v>14</v>
      </c>
      <c r="AG14" s="1257">
        <f t="shared" si="1"/>
        <v>0</v>
      </c>
      <c r="AH14" s="1257">
        <f t="shared" si="1"/>
        <v>1086</v>
      </c>
      <c r="AI14" s="1257">
        <f t="shared" si="1"/>
        <v>0</v>
      </c>
      <c r="AJ14" s="1257">
        <f t="shared" si="1"/>
        <v>0</v>
      </c>
      <c r="AK14" s="1257">
        <f t="shared" si="1"/>
        <v>0</v>
      </c>
      <c r="AL14" s="1257">
        <f t="shared" si="1"/>
        <v>40</v>
      </c>
      <c r="AM14" s="1257">
        <f t="shared" si="1"/>
        <v>202</v>
      </c>
      <c r="AN14" s="1257">
        <f t="shared" si="1"/>
        <v>0</v>
      </c>
      <c r="AO14" s="1257">
        <f t="shared" si="1"/>
        <v>0</v>
      </c>
      <c r="AP14" s="1262">
        <f>IF(ISNUMBER(((Datos!L14/Datos!K14)*11)/factor_trimestre),((Datos!L14/Datos!K14)*11)/factor_trimestre," - ")</f>
        <v>18.010752688172044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-0.14285714285714285</v>
      </c>
      <c r="AU14" s="1257" t="str">
        <f>IF(ISNUMBER((DatosP!#REF!-DatosP!#REF!+DatosP!#REF!)/(DatosP!#REF!+DatosP!#REF!-DatosP!#REF!-DatosP!#REF!)),(DatosP!#REF!-DatosP!#REF!+DatosP!#REF!)/(DatosP!#REF!+DatosP!#REF!-DatosP!#REF!-DatosP!#REF!)," - ")</f>
        <v xml:space="preserve"> - </v>
      </c>
      <c r="AV14" s="1263">
        <f>SUBTOTAL(9,AV9:AV13)</f>
        <v>6.4874884151992582E-3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8.2418772563176894</v>
      </c>
      <c r="AQ23" s="1262">
        <f>IF(ISNUMBER(((Datos!M23/Datos!L23)*11)/factor_trimestre),((Datos!M23/Datos!L23)*11)/factor_trimestre," - ")</f>
        <v>0.126149802890933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2.6315789473684209E-2</v>
      </c>
      <c r="AW23" s="1265">
        <f>IF(ISNUMBER((Datos!Q23-Datos!R23)/(Datos!S23-Datos!Q23+Datos!R23)),(Datos!Q23-Datos!R23)/(Datos!S23-Datos!Q23+Datos!R23)," - ")</f>
        <v>-5.1144010767160158E-2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45</v>
      </c>
      <c r="AE31" s="1284">
        <f t="shared" si="9"/>
        <v>0</v>
      </c>
      <c r="AF31" s="1285">
        <f t="shared" si="9"/>
        <v>14</v>
      </c>
      <c r="AG31" s="1285">
        <f t="shared" si="9"/>
        <v>0</v>
      </c>
      <c r="AH31" s="1285">
        <f t="shared" si="9"/>
        <v>1086</v>
      </c>
      <c r="AI31" s="1285">
        <f t="shared" si="9"/>
        <v>0</v>
      </c>
      <c r="AJ31" s="1286">
        <f t="shared" si="9"/>
        <v>0</v>
      </c>
      <c r="AK31" s="1286">
        <f t="shared" si="9"/>
        <v>0</v>
      </c>
      <c r="AL31" s="1278">
        <f t="shared" si="9"/>
        <v>40</v>
      </c>
      <c r="AM31" s="1278">
        <f t="shared" si="9"/>
        <v>202</v>
      </c>
      <c r="AN31" s="1278">
        <f t="shared" si="9"/>
        <v>0</v>
      </c>
      <c r="AO31" s="1278">
        <f t="shared" si="9"/>
        <v>0</v>
      </c>
      <c r="AP31" s="1278">
        <f>IF(ISNUMBER(((Datos!L31/Datos!K31)*11)/factor_trimestre),((Datos!L31/Datos!K31)*11)/factor_trimestre," - ")</f>
        <v>13.143884892086334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-0.14285714285714285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7.1428571428571426E-3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20.274779078122322</v>
      </c>
      <c r="AM33" s="1006"/>
      <c r="AN33" s="1006">
        <f>IF(ISNUMBER(STDEV(AN8:AN30)),STDEV(AN8:AN30),"-")</f>
        <v>0</v>
      </c>
      <c r="AO33" s="1012">
        <f>IF(ISNUMBER(STDEV(AO8:AO30)),STDEV(AO8:AO30),"-")</f>
        <v>0</v>
      </c>
      <c r="AP33" s="1065">
        <f>IF(ISNUMBER(STDEV(AP8:AP30)),STDEV(AP8:AP30),"-")</f>
        <v>5.463198284336868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VRqV6DCL8QYuy4pXuNIV3ZFeqBeNDW2jG/aIShicG93en4OO7o+KWlursPeCPewrQGpE9XFx9QWB9PSe3QTWg==" saltValue="DIFBTFhfvN7RhMTWa+AX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TORRELAGUNA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gOjM8NszFiCtLzlyujYQ7MFOzALLBkMl6Vhx01wExY55TXWlAUNha0jsXzg7EFxiFpZLswc3edBqXKNyrGidQ==" saltValue="seTEgBgCvEjehSbGT78O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TORRELAGUNA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39</v>
      </c>
      <c r="E12" s="452">
        <f t="shared" si="0"/>
        <v>19.5</v>
      </c>
      <c r="F12" s="451">
        <f>IF(ISNUMBER(Datos!N12),Datos!N12," - ")</f>
        <v>201</v>
      </c>
      <c r="G12" s="452">
        <f t="shared" si="1"/>
        <v>100.5</v>
      </c>
      <c r="H12" s="451">
        <f>IF(ISNUMBER(Datos!O12),Datos!O12," - ")</f>
        <v>117</v>
      </c>
      <c r="I12" s="452">
        <f t="shared" si="2"/>
        <v>58.5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40</v>
      </c>
      <c r="E14" s="1147">
        <f t="shared" si="0"/>
        <v>13.333333333333334</v>
      </c>
      <c r="F14" s="1146">
        <f>SUBTOTAL(9,F9:F13)</f>
        <v>202</v>
      </c>
      <c r="G14" s="1147">
        <f t="shared" si="1"/>
        <v>67.333333333333329</v>
      </c>
      <c r="H14" s="1146">
        <f>SUBTOTAL(9,H9:H13)</f>
        <v>117</v>
      </c>
      <c r="I14" s="1147">
        <f>IF(ISNUMBER(H14/B14),H14/B14," - ")</f>
        <v>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30</v>
      </c>
      <c r="E17" s="452">
        <f t="shared" si="3"/>
        <v>15</v>
      </c>
      <c r="F17" s="451">
        <f>IF(ISNUMBER(Datos!N17),Datos!N17," - ")</f>
        <v>116</v>
      </c>
      <c r="G17" s="452">
        <f t="shared" si="4"/>
        <v>58</v>
      </c>
      <c r="H17" s="451">
        <f>IF(ISNUMBER(Datos!O17),Datos!O17," - ")</f>
        <v>1</v>
      </c>
      <c r="I17" s="452">
        <f t="shared" si="5"/>
        <v>0.5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34</v>
      </c>
      <c r="G18" s="452">
        <f>IF(ISNUMBER(F18/B18),F18/B18," - ")</f>
        <v>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32</v>
      </c>
      <c r="E23" s="1147">
        <f t="shared" si="3"/>
        <v>10.666666666666666</v>
      </c>
      <c r="F23" s="1146">
        <f>SUBTOTAL(9,F16:F22)</f>
        <v>150</v>
      </c>
      <c r="G23" s="1147">
        <f t="shared" si="4"/>
        <v>50</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72</v>
      </c>
      <c r="E31" s="1085">
        <f>IF(ISNUMBER(D31/B31),D31/B31," - ")</f>
        <v>36</v>
      </c>
      <c r="F31" s="1084">
        <f>SUBTOTAL(9,F8:F30)</f>
        <v>352</v>
      </c>
      <c r="G31" s="1085">
        <f>IF(ISNUMBER(F31/B31),F31/B31," - ")</f>
        <v>176</v>
      </c>
      <c r="H31" s="1084">
        <f>SUBTOTAL(9,H8:H30)</f>
        <v>118</v>
      </c>
      <c r="I31" s="1085">
        <f>IF(ISNUMBER(H31/B31),H31/B31," - ")</f>
        <v>59</v>
      </c>
    </row>
    <row r="34" spans="1:1">
      <c r="A34" s="439" t="str">
        <f>Criterios!A4</f>
        <v>Fecha Informe: 05 may. 2023</v>
      </c>
    </row>
    <row r="39" spans="1:1">
      <c r="A39" s="462"/>
    </row>
  </sheetData>
  <sheetProtection algorithmName="SHA-512" hashValue="L1NbwxvjKw5Egdkjlc0aagt6B59dTGnt2iBF3X+7E8R1QImlE7ShORKBmqOqld4+Hl6MKsKLwqicIXbwoZVRKA==" saltValue="7kHGSuvwSZzxy1Q2t+55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TORRELAGUNA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v>
      </c>
      <c r="C12" s="489">
        <f>IF(ISNUMBER(Datos!Q12),Datos!Q12," - ")</f>
        <v>45</v>
      </c>
      <c r="D12" s="456">
        <f>IF(ISNUMBER(Datos!R12),Datos!R12," - ")</f>
        <v>1086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v>
      </c>
      <c r="C14" s="1150">
        <f>SUBTOTAL(9,C9:C13)</f>
        <v>45</v>
      </c>
      <c r="D14" s="1148">
        <f>SUBTOTAL(9,D9:D13)</f>
        <v>1089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1</v>
      </c>
      <c r="D17" s="456">
        <f>IF(ISNUMBER(Datos!R17),Datos!R17," - ")</f>
        <v>35</v>
      </c>
    </row>
    <row r="18" spans="1:4">
      <c r="A18" s="450" t="str">
        <f>Datos!A18</f>
        <v>Jdos. Violencia contra la mujer</v>
      </c>
      <c r="B18" s="488">
        <f>IF(ISNUMBER(Datos!P18),Datos!P18," - ")</f>
        <v>1</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v>
      </c>
      <c r="C31" s="1089">
        <f>SUBTOTAL(9,C8:C30)</f>
        <v>46</v>
      </c>
      <c r="D31" s="1090">
        <f>SUBTOTAL(9,D8:D30)</f>
        <v>1128</v>
      </c>
    </row>
    <row r="32" spans="1:4" ht="7.5" customHeight="1"/>
    <row r="33" spans="1:1" ht="6" customHeight="1"/>
    <row r="34" spans="1:1">
      <c r="A34" s="439" t="str">
        <f>Criterios!A4</f>
        <v>Fecha Informe: 05 may. 2023</v>
      </c>
    </row>
    <row r="39" spans="1:1">
      <c r="A39" s="462"/>
    </row>
  </sheetData>
  <sheetProtection algorithmName="SHA-512" hashValue="k2miZlBmHbRrtB8ZQeBbxXARQ+hr0YkE++WFIVhUKWIt0ydC6exRTV9nTv3oSFSHVKZD00ObLAoAIGiSZhNrPw==" saltValue="yqUBrSRT46WIJlVwLu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TORRELAGUNA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1</v>
      </c>
      <c r="D10" s="515" t="str">
        <f>IF(ISNUMBER((Datos!K10-Datos!U10)/Datos!U10),(Datos!K10-Datos!U10)/Datos!U10," - ")</f>
        <v xml:space="preserve"> - </v>
      </c>
      <c r="E10" s="515">
        <f>IF(ISNUMBER((Datos!L10-Datos!V10)/Datos!V10),(Datos!L10-Datos!V10)/Datos!V10," - ")</f>
        <v>0.55555555555555558</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0.31711145996860285</v>
      </c>
      <c r="C12" s="515">
        <f>IF(ISNUMBER(
   IF(J_V="SI",(Datos!J12-Datos!T12)/Datos!T12,(Datos!J12+Datos!Z12-(Datos!T12+Datos!AH12))/(Datos!T12+Datos!AH12))
     ),IF(J_V="SI",(Datos!J12-Datos!T12)/Datos!T12,(Datos!J12+Datos!Z12-(Datos!T12+Datos!AH12))/(Datos!T12+Datos!AH12))," - ")</f>
        <v>0.19195046439628483</v>
      </c>
      <c r="D12" s="515">
        <f>IF(ISNUMBER(
   IF(J_V="SI",(Datos!K12-Datos!U12)/Datos!U12,(Datos!K12+Datos!AA12-(Datos!U12+Datos!AI12))/(Datos!U12+Datos!AI12))
     ),IF(J_V="SI",(Datos!K12-Datos!U12)/Datos!U12,(Datos!K12+Datos!AA12-(Datos!U12+Datos!AI12))/(Datos!U12+Datos!AI12))," - ")</f>
        <v>0.65865384615384615</v>
      </c>
      <c r="E12" s="515">
        <f>IF(ISNUMBER(
   IF(J_V="SI",(Datos!L12-Datos!V12)/Datos!V12,(Datos!L12+Datos!AB12-(Datos!V12+Datos!AJ12))/(Datos!V12+Datos!AJ12))
     ),IF(J_V="SI",(Datos!L12-Datos!V12)/Datos!V12,(Datos!L12+Datos!AB12-(Datos!V12+Datos!AJ12))/(Datos!V12+Datos!AJ12))," - ")</f>
        <v>0.23686105111591071</v>
      </c>
      <c r="F12" s="515">
        <f>IF(ISNUMBER((Datos!M12-Datos!W12)/Datos!W12),(Datos!M12-Datos!W12)/Datos!W12," - ")</f>
        <v>-0.31578947368421051</v>
      </c>
      <c r="G12" s="516">
        <f>IF(ISNUMBER((Datos!N12-Datos!X12)/Datos!X12),(Datos!N12-Datos!X12)/Datos!X12," - ")</f>
        <v>1.3928571428571428</v>
      </c>
      <c r="H12" s="514">
        <f>IF(ISNUMBER(((NºAsuntos!G12/NºAsuntos!E12)-Datos!BD12)/Datos!BD12),((NºAsuntos!G12/NºAsuntos!E12)-Datos!BD12)/Datos!BD12," - ")</f>
        <v>0.39154595404595399</v>
      </c>
      <c r="I12" s="515">
        <f>IF(ISNUMBER(((NºAsuntos!I12/NºAsuntos!G12)-Datos!BE12)/Datos!BE12),((NºAsuntos!I12/NºAsuntos!G12)-Datos!BE12)/Datos!BE12," - ")</f>
        <v>-0.25429826483446533</v>
      </c>
      <c r="J12" s="521">
        <f>IF(ISNUMBER((('Resol  Asuntos'!D12/NºAsuntos!G12)-Datos!BF12)/Datos!BF12),(('Resol  Asuntos'!D12/NºAsuntos!G12)-Datos!BF12)/Datos!BF12," - ")</f>
        <v>-0.72008281573498967</v>
      </c>
      <c r="K12" s="522">
        <f>IF(ISNUMBER((((NºAsuntos!C12+NºAsuntos!E12)/NºAsuntos!G12)-Datos!BG12)/Datos!BG12),(((NºAsuntos!C12+NºAsuntos!E12)/NºAsuntos!G12)-Datos!BG12)/Datos!BG12," - ")</f>
        <v>-0.2211773887633515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0.31981279251170047</v>
      </c>
      <c r="C14" s="1152">
        <f>IF(ISNUMBER(
   IF(J_V="SI",(Datos!J14-Datos!T14)/Datos!T14,(Datos!J14+Datos!Z14-(Datos!T14+Datos!AH14))/(Datos!T14+Datos!AH14))
     ),IF(J_V="SI",(Datos!J14-Datos!T14)/Datos!T14,(Datos!J14+Datos!Z14-(Datos!T14+Datos!AH14))/(Datos!T14+Datos!AH14))," - ")</f>
        <v>0.19444444444444445</v>
      </c>
      <c r="D14" s="1152">
        <f>IF(ISNUMBER(
   IF(J_V="SI",(Datos!K14-Datos!U14)/Datos!U14,(Datos!K14+Datos!AA14-(Datos!U14+Datos!AI14))/(Datos!U14+Datos!AI14))
     ),IF(J_V="SI",(Datos!K14-Datos!U14)/Datos!U14,(Datos!K14+Datos!AA14-(Datos!U14+Datos!AI14))/(Datos!U14+Datos!AI14))," - ")</f>
        <v>0.66826923076923073</v>
      </c>
      <c r="E14" s="1152">
        <f>IF(ISNUMBER(
   IF(J_V="SI",(Datos!L14-Datos!V14)/Datos!V14,(Datos!L14+Datos!AB14-(Datos!V14+Datos!AJ14))/(Datos!V14+Datos!AJ14))
     ),IF(J_V="SI",(Datos!L14-Datos!V14)/Datos!V14,(Datos!L14+Datos!AB14-(Datos!V14+Datos!AJ14))/(Datos!V14+Datos!AJ14))," - ")</f>
        <v>0.23891273247496422</v>
      </c>
      <c r="F14" s="1153">
        <f>IF(ISNUMBER((Datos!M14-Datos!W14)/Datos!W14),(Datos!M14-Datos!W14)/Datos!W14," - ")</f>
        <v>-0.2982456140350877</v>
      </c>
      <c r="G14" s="1154">
        <f>IF(ISNUMBER((Datos!N14-Datos!X14)/Datos!X14),(Datos!N14-Datos!X14)/Datos!X14," - ")</f>
        <v>1.4047619047619047</v>
      </c>
      <c r="H14" s="1154">
        <f>IF(ISNUMBER(((NºAsuntos!G14/NºAsuntos!E14)-Datos!BD14)/Datos!BD14),((NºAsuntos!G14/NºAsuntos!E14)-Datos!BD14)/Datos!BD14," - ")</f>
        <v>0.39669051878354206</v>
      </c>
      <c r="I14" s="1154">
        <f>IF(ISNUMBER(((NºAsuntos!I14/NºAsuntos!G14)-Datos!BE14)/Datos!BE14),((NºAsuntos!I14/NºAsuntos!G14)-Datos!BE14)/Datos!BE14," - ")</f>
        <v>-0.25736643125420011</v>
      </c>
      <c r="J14" s="1154">
        <f>IF(ISNUMBER((('Resol  Asuntos'!D14/NºAsuntos!G14)-Datos!BF14)/Datos!BF14),(('Resol  Asuntos'!D14/NºAsuntos!G14)-Datos!BF14)/Datos!BF14," - ")</f>
        <v>-0.71456017565527652</v>
      </c>
      <c r="K14" s="1154">
        <f>IF(ISNUMBER((((NºAsuntos!C14+NºAsuntos!E14)/NºAsuntos!G14)-Datos!BG14)/Datos!BG14),(((NºAsuntos!C14+NºAsuntos!E14)/NºAsuntos!G14)-Datos!BG14)/Datos!BG14," - ")</f>
        <v>-0.22403379258615927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2.5954198473282442E-2</v>
      </c>
      <c r="C17" s="515">
        <f>IF(ISNUMBER(
   IF(D_I="SI",(Datos!J17-Datos!T17)/Datos!T17,(Datos!J17+Datos!AD17-(Datos!T17+Datos!AL17))/(Datos!T17+Datos!AL17))
     ),IF(D_I="SI",(Datos!J17-Datos!T17)/Datos!T17,(Datos!J17+Datos!AD17-(Datos!T17+Datos!AL17))/(Datos!T17+Datos!AL17))," - ")</f>
        <v>-0.1111111111111111</v>
      </c>
      <c r="D17" s="515">
        <f>IF(ISNUMBER(
   IF(D_I="SI",(Datos!K17-Datos!U17)/Datos!U17,(Datos!K17+Datos!AE17-(Datos!U17+Datos!AM17))/(Datos!U17+Datos!AM17))
     ),IF(D_I="SI",(Datos!K17-Datos!U17)/Datos!U17,(Datos!K17+Datos!AE17-(Datos!U17+Datos!AM17))/(Datos!U17+Datos!AM17))," - ")</f>
        <v>-0.21283783783783783</v>
      </c>
      <c r="E17" s="515">
        <f>IF(ISNUMBER(
   IF(D_I="SI",(Datos!L17-Datos!V17)/Datos!V17,(Datos!L17+Datos!AF17-(Datos!V17+Datos!AN17))/(Datos!V17+Datos!AN17))
     ),IF(D_I="SI",(Datos!L17-Datos!V17)/Datos!V17,(Datos!L17+Datos!AF17-(Datos!V17+Datos!AN17))/(Datos!V17+Datos!AN17))," - ")</f>
        <v>7.0996978851963752E-2</v>
      </c>
      <c r="F17" s="515">
        <f>IF(ISNUMBER((Datos!M17-Datos!W17)/Datos!W17),(Datos!M17-Datos!W17)/Datos!W17," - ")</f>
        <v>-0.21052631578947367</v>
      </c>
      <c r="G17" s="516">
        <f>IF(ISNUMBER((Datos!N17-Datos!X17)/Datos!X17),(Datos!N17-Datos!X17)/Datos!X17," - ")</f>
        <v>-0.41708542713567837</v>
      </c>
      <c r="H17" s="514">
        <f>IF(ISNUMBER(((NºAsuntos!G17/NºAsuntos!E17)-Datos!BD17)/Datos!BD17),((NºAsuntos!G17/NºAsuntos!E17)-Datos!BD17)/Datos!BD17," - ")</f>
        <v>-0.11444256756756759</v>
      </c>
      <c r="I17" s="515">
        <f>IF(ISNUMBER(((NºAsuntos!I17/NºAsuntos!G17)-Datos!BE17)/Datos!BE17),((NºAsuntos!I17/NºAsuntos!G17)-Datos!BE17)/Datos!BE17," - ")</f>
        <v>0.36057985296215139</v>
      </c>
      <c r="J17" s="521">
        <f>IF(ISNUMBER((('Resol  Asuntos'!D17/NºAsuntos!G17)-Datos!BF17)/Datos!BF17),(('Resol  Asuntos'!D17/NºAsuntos!G17)-Datos!BF17)/Datos!BF17," - ")</f>
        <v>2.9365258640162589E-3</v>
      </c>
      <c r="K17" s="522">
        <f>IF(ISNUMBER((((NºAsuntos!C17+NºAsuntos!E17)/NºAsuntos!G17)-Datos!BG17)/Datos!BG17),(((NºAsuntos!C17+NºAsuntos!E17)/NºAsuntos!G17)-Datos!BG17)/Datos!BG17," - ")</f>
        <v>0.24903523641216155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0.4838709677419355</v>
      </c>
      <c r="D18" s="515">
        <f>IF(ISNUMBER(
   IF(D_I="SI",(Datos!K18-Datos!U18)/Datos!U18,(Datos!K18+Datos!AE18-(Datos!U18+Datos!AM18))/(Datos!U18+Datos!AM18))
     ),IF(D_I="SI",(Datos!K18-Datos!U18)/Datos!U18,(Datos!K18+Datos!AE18-(Datos!U18+Datos!AM18))/(Datos!U18+Datos!AM18))," - ")</f>
        <v>0.41935483870967744</v>
      </c>
      <c r="E18" s="515">
        <f>IF(ISNUMBER(
   IF(D_I="SI",(Datos!L18-Datos!V18)/Datos!V18,(Datos!L18+Datos!AF18-(Datos!V18+Datos!AN18))/(Datos!V18+Datos!AN18))
     ),IF(D_I="SI",(Datos!L18-Datos!V18)/Datos!V18,(Datos!L18+Datos!AF18-(Datos!V18+Datos!AN18))/(Datos!V18+Datos!AN18))," - ")</f>
        <v>1.9607843137254902E-2</v>
      </c>
      <c r="F18" s="515">
        <f>IF(ISNUMBER((Datos!M18-Datos!W18)/Datos!W18),(Datos!M18-Datos!W18)/Datos!W18," - ")</f>
        <v>1</v>
      </c>
      <c r="G18" s="516">
        <f>IF(ISNUMBER((Datos!N18-Datos!X18)/Datos!X18),(Datos!N18-Datos!X18)/Datos!X18," - ")</f>
        <v>1.2666666666666666</v>
      </c>
      <c r="H18" s="514">
        <f>IF(ISNUMBER(((NºAsuntos!G18/NºAsuntos!E18)-Datos!BD18)/Datos!BD18),((NºAsuntos!G18/NºAsuntos!E18)-Datos!BD18)/Datos!BD18," - ")</f>
        <v>-4.3478260869565188E-2</v>
      </c>
      <c r="I18" s="515">
        <f>IF(ISNUMBER(((NºAsuntos!I18/NºAsuntos!G18)-Datos!BE18)/Datos!BE18),((NºAsuntos!I18/NºAsuntos!G18)-Datos!BE18)/Datos!BE18," - ")</f>
        <v>-0.28163992869875221</v>
      </c>
      <c r="J18" s="521">
        <f>IF(ISNUMBER((('Resol  Asuntos'!D18/NºAsuntos!G18)-Datos!BF18)/Datos!BF18),(('Resol  Asuntos'!D18/NºAsuntos!G18)-Datos!BF18)/Datos!BF18," - ")</f>
        <v>0.40909090909090917</v>
      </c>
      <c r="K18" s="522">
        <f>IF(ISNUMBER((((NºAsuntos!C18+NºAsuntos!E18)/NºAsuntos!G18)-Datos!BG18)/Datos!BG18),(((NºAsuntos!C18+NºAsuntos!E18)/NºAsuntos!G18)-Datos!BG18)/Datos!BG18," - ")</f>
        <v>-0.16498316498316501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2.4113475177304965E-2</v>
      </c>
      <c r="C23" s="1152">
        <f>IF(ISNUMBER(
   IF(Criterios!B14="SI",(Datos!J23-Datos!T23)/Datos!T23,(Datos!J23+Datos!AD23-(Datos!T23+Datos!AL23))/(Datos!T23+Datos!AL23))
     ),IF(Criterios!B14="SI",(Datos!J23-Datos!T23)/Datos!T23,(Datos!J23+Datos!AD23-(Datos!T23+Datos!AL23))/(Datos!T23+Datos!AL23))," - ")</f>
        <v>-5.4878048780487805E-2</v>
      </c>
      <c r="D23" s="1152">
        <f>IF(ISNUMBER(
   IF(Criterios!B14="SI",(Datos!K23-Datos!U23)/Datos!U23,(Datos!K23+Datos!AE23-(Datos!U23+Datos!AM23))/(Datos!U23+Datos!AM23))
     ),IF(Criterios!B14="SI",(Datos!K23-Datos!U23)/Datos!U23,(Datos!K23+Datos!AE23-(Datos!U23+Datos!AM23))/(Datos!U23+Datos!AM23))," - ")</f>
        <v>-0.1529051987767584</v>
      </c>
      <c r="E23" s="1152">
        <f>IF(ISNUMBER(
   IF(Criterios!B14="SI",(Datos!L23-Datos!V23)/Datos!V23,(Datos!L23+Datos!AF23-(Datos!V23+Datos!AN23))/(Datos!V23+Datos!AN23))
     ),IF(Criterios!B14="SI",(Datos!L23-Datos!V23)/Datos!V23,(Datos!L23+Datos!AF23-(Datos!V23+Datos!AN23))/(Datos!V23+Datos!AN23))," - ")</f>
        <v>6.7321178120617109E-2</v>
      </c>
      <c r="F23" s="1153">
        <f>IF(ISNUMBER((Datos!M23-Datos!W23)/Datos!W23),(Datos!M23-Datos!W23)/Datos!W23," - ")</f>
        <v>-0.17948717948717949</v>
      </c>
      <c r="G23" s="1154">
        <f>IF(ISNUMBER((Datos!N23-Datos!X23)/Datos!X23),(Datos!N23-Datos!X23)/Datos!X23," - ")</f>
        <v>-0.29906542056074764</v>
      </c>
      <c r="H23" s="1154">
        <f>IF(ISNUMBER(((NºAsuntos!G23/NºAsuntos!E23)-Datos!BD23)/Datos!BD23),((NºAsuntos!G23/NºAsuntos!E23)-Datos!BD23)/Datos!BD23," - ")</f>
        <v>-0.10371904902831211</v>
      </c>
      <c r="I23" s="1154">
        <f>IF(ISNUMBER(((NºAsuntos!I23/NºAsuntos!G23)-Datos!BE23)/Datos!BE23),((NºAsuntos!I23/NºAsuntos!G23)-Datos!BE23)/Datos!BE23," - ")</f>
        <v>0.25997843048895958</v>
      </c>
      <c r="J23" s="1154">
        <f>IF(ISNUMBER((('Resol  Asuntos'!D23/NºAsuntos!G23)-Datos!BF23)/Datos!BF23),(('Resol  Asuntos'!D23/NºAsuntos!G23)-Datos!BF23)/Datos!BF23," - ")</f>
        <v>-3.1380172174396023E-2</v>
      </c>
      <c r="K23" s="1154">
        <f>IF(ISNUMBER((((NºAsuntos!C23+NºAsuntos!E23)/NºAsuntos!G23)-Datos!BG23)/Datos!BG23),(((NºAsuntos!C23+NºAsuntos!E23)/NºAsuntos!G23)-Datos!BG23)/Datos!BG23," - ")</f>
        <v>0.17936262192415628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0.21489682939104177</v>
      </c>
      <c r="C31" s="1092">
        <f>IF(ISNUMBER(
   IF(J_V="SI",(Datos!J31-Datos!T31)/Datos!T31,(Datos!J31+Datos!Z31-(Datos!T31+Datos!AH31))/(Datos!T31+Datos!AH31))
     ),IF(J_V="SI",(Datos!J31-Datos!T31)/Datos!T31,(Datos!J31+Datos!Z31-(Datos!T31+Datos!AH31))/(Datos!T31+Datos!AH31))," - ")</f>
        <v>6.9018404907975464E-2</v>
      </c>
      <c r="D31" s="1092">
        <f>IF(ISNUMBER(
   IF(J_V="SI",(Datos!K31-Datos!U31)/Datos!U31,(Datos!K31+Datos!AA31-(Datos!U31+Datos!AI31))/(Datos!U31+Datos!AI31))
     ),IF(J_V="SI",(Datos!K31-Datos!U31)/Datos!U31,(Datos!K31+Datos!AA31-(Datos!U31+Datos!AI31))/(Datos!U31+Datos!AI31))," - ")</f>
        <v>0.16635514018691588</v>
      </c>
      <c r="E31" s="1092">
        <f>IF(ISNUMBER(
   IF(J_V="SI",(Datos!L31-Datos!V31)/Datos!V31,(Datos!L31+Datos!AB31-(Datos!V31+Datos!AJ31))/(Datos!V31+Datos!AJ31))
     ),IF(J_V="SI",(Datos!L31-Datos!V31)/Datos!V31,(Datos!L31+Datos!AB31-(Datos!V31+Datos!AJ31))/(Datos!V31+Datos!AJ31))," - ")</f>
        <v>0.18095689246802463</v>
      </c>
      <c r="F31" s="1093">
        <f>IF(ISNUMBER((Datos!M31-Datos!W31)/Datos!W31),(Datos!M31-Datos!W31)/Datos!W31," - ")</f>
        <v>-0.25</v>
      </c>
      <c r="G31" s="1094">
        <f>IF(ISNUMBER((Datos!N31-Datos!X31)/Datos!X31),(Datos!N31-Datos!X31)/Datos!X31," - ")</f>
        <v>0.18120805369127516</v>
      </c>
      <c r="H31" s="1095">
        <f>IF(ISNUMBER((Tasas!B31-Datos!BD31)/Datos!BD31),(Tasas!B31-Datos!BD31)/Datos!BD31," - ")</f>
        <v>9.1052441035680234E-2</v>
      </c>
      <c r="I31" s="1096">
        <f>IF(ISNUMBER((Tasas!C31-Datos!BE31)/Datos!BE31),(Tasas!C31-Datos!BE31)/Datos!BE31," - ")</f>
        <v>1.2519130561527531E-2</v>
      </c>
      <c r="J31" s="1097">
        <f>IF(ISNUMBER((Tasas!D31-Datos!BF31)/Datos!BF31),(Tasas!D31-Datos!BF31)/Datos!BF31," - ")</f>
        <v>-0.49812382739212008</v>
      </c>
      <c r="K31" s="1097">
        <f>IF(ISNUMBER((Tasas!E31-Datos!BG31)/Datos!BG31),(Tasas!E31-Datos!BG31)/Datos!BG31," - ")</f>
        <v>1.0717564928440299E-2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OWN/x95RMufyVgpnO9Z+43EUJ9hwK8aV/rRpOiYf16RA+J3X00wbb7Od1OqDE45PY8LVLzD/tBHCvEeWHt9jA==" saltValue="qaQxo1JLq+z5XktE+y4o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TORRELAGUNA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7</v>
      </c>
      <c r="D10" s="499">
        <f>IF(ISNUMBER('Resol  Asuntos'!D10/NºAsuntos!G10),'Resol  Asuntos'!D10/NºAsuntos!G10," - ")</f>
        <v>0.5</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0.89610389610389607</v>
      </c>
      <c r="C12" s="498">
        <f>IF(ISNUMBER(NºAsuntos!I12/NºAsuntos!G12),NºAsuntos!I12/NºAsuntos!G12," - ")</f>
        <v>4.9797101449275365</v>
      </c>
      <c r="D12" s="499">
        <f>IF(ISNUMBER('Resol  Asuntos'!D12/NºAsuntos!G12),'Resol  Asuntos'!D12/NºAsuntos!G12," - ")</f>
        <v>0.11304347826086956</v>
      </c>
      <c r="E12" s="500">
        <f>IF(ISNUMBER((NºAsuntos!C12+NºAsuntos!E12)/NºAsuntos!G12),(NºAsuntos!C12+NºAsuntos!E12)/NºAsuntos!G12," - ")</f>
        <v>5.9797101449275365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0.89664082687338498</v>
      </c>
      <c r="C14" s="1156">
        <f>IF(ISNUMBER(NºAsuntos!I14/NºAsuntos!G14),NºAsuntos!I14/NºAsuntos!G14," - ")</f>
        <v>4.9913544668587893</v>
      </c>
      <c r="D14" s="1157">
        <f>IF(ISNUMBER('Resol  Asuntos'!D14/NºAsuntos!G14),'Resol  Asuntos'!D14/NºAsuntos!G14," - ")</f>
        <v>0.11527377521613832</v>
      </c>
      <c r="E14" s="1158">
        <f>IF(ISNUMBER((NºAsuntos!C14+NºAsuntos!E14)/NºAsuntos!G14),(NºAsuntos!C14+NºAsuntos!E14)/NºAsuntos!G14," - ")</f>
        <v>5.9913544668587893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0.88257575757575757</v>
      </c>
      <c r="C17" s="498">
        <f>IF(ISNUMBER(NºAsuntos!I17/NºAsuntos!G17),NºAsuntos!I17/NºAsuntos!G17," - ")</f>
        <v>3.0429184549356223</v>
      </c>
      <c r="D17" s="499">
        <f>IF(ISNUMBER('Resol  Asuntos'!D17/NºAsuntos!G17),'Resol  Asuntos'!D17/NºAsuntos!G17," - ")</f>
        <v>0.12875536480686695</v>
      </c>
      <c r="E17" s="500">
        <f>IF(ISNUMBER((NºAsuntos!C17+NºAsuntos!E17)/NºAsuntos!G17),(NºAsuntos!C17+NºAsuntos!E17)/NºAsuntos!G17," - ")</f>
        <v>4.0171673819742493</v>
      </c>
      <c r="G17" s="523"/>
    </row>
    <row r="18" spans="1:7">
      <c r="A18" s="450" t="str">
        <f>Datos!A18</f>
        <v>Jdos. Violencia contra la mujer</v>
      </c>
      <c r="B18" s="497">
        <f>IF(ISNUMBER(NºAsuntos!G18/NºAsuntos!E18),NºAsuntos!G18/NºAsuntos!E18," - ")</f>
        <v>0.95652173913043481</v>
      </c>
      <c r="C18" s="498">
        <f>IF(ISNUMBER(NºAsuntos!I18/NºAsuntos!G18),NºAsuntos!I18/NºAsuntos!G18," - ")</f>
        <v>1.1818181818181819</v>
      </c>
      <c r="D18" s="499">
        <f>IF(ISNUMBER('Resol  Asuntos'!D18/NºAsuntos!G18),'Resol  Asuntos'!D18/NºAsuntos!G18," - ")</f>
        <v>4.5454545454545456E-2</v>
      </c>
      <c r="E18" s="500">
        <f>IF(ISNUMBER((NºAsuntos!C18+NºAsuntos!E18)/NºAsuntos!G18),(NºAsuntos!C18+NºAsuntos!E18)/NºAsuntos!G18," - ")</f>
        <v>2.1818181818181817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0.8935483870967742</v>
      </c>
      <c r="C23" s="1156">
        <f>IF(ISNUMBER(NºAsuntos!I23/NºAsuntos!G23),NºAsuntos!I23/NºAsuntos!G23," - ")</f>
        <v>2.7472924187725631</v>
      </c>
      <c r="D23" s="1159">
        <f>IF(ISNUMBER('Resol  Asuntos'!D23/NºAsuntos!G23),'Resol  Asuntos'!D23/NºAsuntos!G23," - ")</f>
        <v>0.11552346570397112</v>
      </c>
      <c r="E23" s="1158">
        <f>IF(ISNUMBER((NºAsuntos!C23+NºAsuntos!E23)/NºAsuntos!G23),(NºAsuntos!C23+NºAsuntos!E23)/NºAsuntos!G23," - ")</f>
        <v>3.7256317689530687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0.89526542324246772</v>
      </c>
      <c r="C31" s="1099">
        <f>IF(ISNUMBER(NºAsuntos!I31/NºAsuntos!G31),NºAsuntos!I31/NºAsuntos!G31," - ")</f>
        <v>3.9951923076923075</v>
      </c>
      <c r="D31" s="1100">
        <f>IF(ISNUMBER('Resol  Asuntos'!D31/NºAsuntos!G31),'Resol  Asuntos'!D31/NºAsuntos!G31," - ")</f>
        <v>0.11538461538461539</v>
      </c>
      <c r="E31" s="1101">
        <f>IF(ISNUMBER((NºAsuntos!C31+NºAsuntos!E31)/NºAsuntos!G31),(NºAsuntos!C31+NºAsuntos!E31)/NºAsuntos!G31," - ")</f>
        <v>4.9855769230769234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GW4PXeJ6DxAJo40iz63koJRcwyUuL3LvspyPiwmuaYBDCkcXj+ieUb4qGWECoyHs3maHslg5T6CLWH/43wchw==" saltValue="QmRcvyZ543DU90yV/0rA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TORRELAGUNA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14</v>
      </c>
      <c r="AB10" s="374">
        <f>IF(ISNUMBER(Datos!R10),Datos!R10," - ")</f>
        <v>3</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21</v>
      </c>
      <c r="AN10" s="267">
        <f>IF(ISNUMBER('Resol  Asuntos'!D10/NºAsuntos!G10),'Resol  Asuntos'!D10/NºAsuntos!G10," - ")</f>
        <v>0.5</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45</v>
      </c>
      <c r="Y12" s="374">
        <f t="shared" si="0"/>
        <v>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v>
      </c>
      <c r="AJ12" s="243" t="str">
        <f>IF(ISNUMBER(Datos!BW12),Datos!BW12," - ")</f>
        <v xml:space="preserve"> - </v>
      </c>
      <c r="AK12" s="242" t="str">
        <f>IF(ISNUMBER(Datos!BX12),Datos!BX12," - ")</f>
        <v xml:space="preserve"> - </v>
      </c>
      <c r="AL12" s="266">
        <f>IF(ISNUMBER(NºAsuntos!G12/NºAsuntos!E12),NºAsuntos!G12/NºAsuntos!E12," - ")</f>
        <v>0.89610389610389607</v>
      </c>
      <c r="AM12" s="284">
        <f>IF(ISNUMBER(((NºAsuntos!I12/NºAsuntos!G12)*11)/factor_trimestre),((NºAsuntos!I12/NºAsuntos!G12)*11)/factor_trimestre," - ")</f>
        <v>14.93913043478261</v>
      </c>
      <c r="AN12" s="267">
        <f>IF(ISNUMBER('Resol  Asuntos'!D12/NºAsuntos!G12),'Resol  Asuntos'!D12/NºAsuntos!G12," - ")</f>
        <v>0.11304347826086956</v>
      </c>
      <c r="AO12" s="268">
        <f>IF(ISNUMBER((NºAsuntos!C12+NºAsuntos!E12)/NºAsuntos!G12),(NºAsuntos!C12+NºAsuntos!E12)/NºAsuntos!G12," - ")</f>
        <v>5.9797101449275365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45</v>
      </c>
      <c r="Y14" s="1165">
        <f t="shared" si="6"/>
        <v>47</v>
      </c>
      <c r="Z14" s="1165">
        <f t="shared" si="6"/>
        <v>0</v>
      </c>
      <c r="AA14" s="1165">
        <f t="shared" si="6"/>
        <v>14</v>
      </c>
      <c r="AB14" s="1165">
        <f t="shared" si="6"/>
        <v>1089</v>
      </c>
      <c r="AC14" s="1165">
        <f t="shared" si="6"/>
        <v>17</v>
      </c>
      <c r="AD14" s="1165">
        <f t="shared" si="6"/>
        <v>0</v>
      </c>
      <c r="AE14" s="1169">
        <f t="shared" si="6"/>
        <v>0</v>
      </c>
      <c r="AF14" s="1162">
        <f t="shared" si="6"/>
        <v>0</v>
      </c>
      <c r="AG14" s="1170">
        <f t="shared" si="6"/>
        <v>0</v>
      </c>
      <c r="AH14" s="1167">
        <f t="shared" si="6"/>
        <v>0</v>
      </c>
      <c r="AI14" s="1162">
        <f t="shared" si="6"/>
        <v>40</v>
      </c>
      <c r="AJ14" s="1164">
        <f t="shared" si="6"/>
        <v>0</v>
      </c>
      <c r="AK14" s="1167">
        <f>SUBTOTAL(9,AK9:AK13)</f>
        <v>0</v>
      </c>
      <c r="AL14" s="1171">
        <f>IF(ISNUMBER(NºAsuntos!G14/NºAsuntos!E14),NºAsuntos!G14/NºAsuntos!E14," - ")</f>
        <v>0.89664082687338498</v>
      </c>
      <c r="AM14" s="1171">
        <f>IF(ISNUMBER(((NºAsuntos!I14/NºAsuntos!G14)*11)/factor_trimestre),((NºAsuntos!I14/NºAsuntos!G14)*11)/factor_trimestre," - ")</f>
        <v>14.97406340057637</v>
      </c>
      <c r="AN14" s="1172">
        <f>IF(ISNUMBER('Resol  Asuntos'!D14/NºAsuntos!G14),'Resol  Asuntos'!D14/NºAsuntos!G14," - ")</f>
        <v>0.11527377521613832</v>
      </c>
      <c r="AO14" s="1173">
        <f>IF(ISNUMBER((NºAsuntos!C14+NºAsuntos!E14)/NºAsuntos!G14),(NºAsuntos!C14+NºAsuntos!E14)/NºAsuntos!G14," - ")</f>
        <v>5.9913544668587893</v>
      </c>
      <c r="AP14" s="1174" t="str">
        <f t="shared" si="2"/>
        <v xml:space="preserve"> - </v>
      </c>
      <c r="AQ14" s="1174">
        <f>IF(ISNUMBER((H14-W14+K14)/(F14)),(H14-W14+K14)/(F14)," - ")</f>
        <v>-0.14285714285714285</v>
      </c>
      <c r="AR14" s="1175">
        <f>IF(ISNUMBER((Datos!P14-Datos!Q14)/(Datos!R14-Datos!P14+Datos!Q14)),(Datos!P14-Datos!Q14)/(Datos!R14-Datos!P14+Datos!Q14)," - ")</f>
        <v>6.4695009242144181E-3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678</v>
      </c>
      <c r="G17" s="373">
        <f>IF(ISNUMBER(IF(D_I="SI",Datos!I17,Datos!I17+Datos!AC17)),IF(D_I="SI",Datos!I17,Datos!I17+Datos!AC17)," - ")</f>
        <v>672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233</v>
      </c>
      <c r="X17" s="240">
        <f>IF(ISNUMBER(Datos!Q17),Datos!Q17," - ")</f>
        <v>1</v>
      </c>
      <c r="Y17" s="374">
        <f t="shared" ref="Y17:Y22" si="9">SUM(W17:X17)</f>
        <v>234</v>
      </c>
      <c r="Z17" s="375" t="str">
        <f>IF(ISNUMBER(Datos!CC17),Datos!CC17," - ")</f>
        <v xml:space="preserve"> - </v>
      </c>
      <c r="AA17" s="372">
        <f>IF(ISNUMBER(IF(D_I="SI",Datos!L17,Datos!L17+Datos!AF17)),IF(D_I="SI",Datos!L17,Datos!L17+Datos!AF17)," - ")</f>
        <v>709</v>
      </c>
      <c r="AB17" s="374">
        <f>IF(ISNUMBER(Datos!R17),Datos!R17," - ")</f>
        <v>35</v>
      </c>
      <c r="AC17" s="374">
        <f t="shared" si="8"/>
        <v>744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0.88257575757575757</v>
      </c>
      <c r="AM17" s="284">
        <f>IF(ISNUMBER(((NºAsuntos!I17/NºAsuntos!G17)*11)/factor_trimestre),((NºAsuntos!I17/NºAsuntos!G17)*11)/factor_trimestre," - ")</f>
        <v>9.1287553648068673</v>
      </c>
      <c r="AN17" s="267">
        <f>IF(ISNUMBER('Resol  Asuntos'!D17/NºAsuntos!G17),'Resol  Asuntos'!D17/NºAsuntos!G17," - ")</f>
        <v>0.12875536480686695</v>
      </c>
      <c r="AO17" s="268">
        <f>IF(ISNUMBER((NºAsuntos!C17+NºAsuntos!E17)/NºAsuntos!G17),(NºAsuntos!C17+NºAsuntos!E17)/NºAsuntos!G17," - ")</f>
        <v>4.0171673819742493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0</v>
      </c>
      <c r="Y18" s="374">
        <f t="shared" si="9"/>
        <v>44</v>
      </c>
      <c r="Z18" s="375" t="str">
        <f>IF(ISNUMBER(Datos!CC18),Datos!CC18," - ")</f>
        <v xml:space="preserve"> - </v>
      </c>
      <c r="AA18" s="372">
        <f>IF(ISNUMBER(Datos!L18),Datos!L18,"-")</f>
        <v>52</v>
      </c>
      <c r="AB18" s="374">
        <f>IF(ISNUMBER(Datos!R18),Datos!R18," - ")</f>
        <v>4</v>
      </c>
      <c r="AC18" s="374">
        <f t="shared" si="8"/>
        <v>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0.95652173913043481</v>
      </c>
      <c r="AM18" s="284">
        <f>IF(ISNUMBER(((NºAsuntos!I18/NºAsuntos!G18)*11)/factor_trimestre),((NºAsuntos!I18/NºAsuntos!G18)*11)/factor_trimestre," - ")</f>
        <v>3.5454545454545454</v>
      </c>
      <c r="AN18" s="267">
        <f>IF(ISNUMBER('Resol  Asuntos'!D18/NºAsuntos!G18),'Resol  Asuntos'!D18/NºAsuntos!G18," - ")</f>
        <v>4.5454545454545456E-2</v>
      </c>
      <c r="AO18" s="268">
        <f>IF(ISNUMBER((NºAsuntos!C18+NºAsuntos!E18)/NºAsuntos!G18),(NºAsuntos!C18+NºAsuntos!E18)/NºAsuntos!G18," - ")</f>
        <v>2.1818181818181817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678</v>
      </c>
      <c r="G23" s="1163">
        <f>SUBTOTAL(9,G16:G22)</f>
        <v>722</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277</v>
      </c>
      <c r="X23" s="1164">
        <f t="shared" si="14"/>
        <v>1</v>
      </c>
      <c r="Y23" s="1165">
        <f t="shared" si="14"/>
        <v>278</v>
      </c>
      <c r="Z23" s="1165">
        <f t="shared" si="14"/>
        <v>0</v>
      </c>
      <c r="AA23" s="1165">
        <f t="shared" si="14"/>
        <v>761</v>
      </c>
      <c r="AB23" s="1165">
        <f t="shared" si="14"/>
        <v>39</v>
      </c>
      <c r="AC23" s="1165">
        <f t="shared" si="14"/>
        <v>800</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0.8935483870967742</v>
      </c>
      <c r="AM23" s="1171">
        <f>IF(ISNUMBER(((NºAsuntos!I23/NºAsuntos!G23)*11)/factor_trimestre),((NºAsuntos!I23/NºAsuntos!G23)*11)/factor_trimestre," - ")</f>
        <v>8.2418772563176894</v>
      </c>
      <c r="AN23" s="1172">
        <f>IF(ISNUMBER('Resol  Asuntos'!D23/NºAsuntos!G23),'Resol  Asuntos'!D23/NºAsuntos!G23," - ")</f>
        <v>0.11552346570397112</v>
      </c>
      <c r="AO23" s="1173">
        <f>IF(ISNUMBER((NºAsuntos!C23+NºAsuntos!E23)/NºAsuntos!G23),(NºAsuntos!C23+NºAsuntos!E23)/NºAsuntos!G23," - ")</f>
        <v>3.7256317689530687</v>
      </c>
      <c r="AP23" s="1174" t="str">
        <f t="shared" si="2"/>
        <v xml:space="preserve"> - </v>
      </c>
      <c r="AQ23" s="1174">
        <f>IF(ISNUMBER((H23-W23+K23)/(F23)),(H23-W23+K23)/(F23)," - ")</f>
        <v>-0.40855457227138642</v>
      </c>
      <c r="AR23" s="1175">
        <f>IF(ISNUMBER((Datos!P23-Datos!Q23)/(Datos!R23-Datos!P23+Datos!Q23)),(Datos!P23-Datos!Q23)/(Datos!R23-Datos!P23+Datos!Q23)," - ")</f>
        <v>2.6315789473684209E-2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692</v>
      </c>
      <c r="G31" s="1118">
        <f t="shared" si="20"/>
        <v>736</v>
      </c>
      <c r="H31" s="1117">
        <f t="shared" si="20"/>
        <v>0</v>
      </c>
      <c r="I31" s="1119">
        <f t="shared" si="20"/>
        <v>0</v>
      </c>
      <c r="J31" s="1119">
        <f t="shared" si="20"/>
        <v>0</v>
      </c>
      <c r="K31" s="1180">
        <f t="shared" si="20"/>
        <v>0</v>
      </c>
      <c r="L31" s="1119">
        <f t="shared" si="20"/>
        <v>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279</v>
      </c>
      <c r="X31" s="1118">
        <f t="shared" si="21"/>
        <v>46</v>
      </c>
      <c r="Y31" s="1125">
        <f t="shared" si="21"/>
        <v>325</v>
      </c>
      <c r="Z31" s="1125">
        <f t="shared" si="21"/>
        <v>0</v>
      </c>
      <c r="AA31" s="1125">
        <f t="shared" si="21"/>
        <v>775</v>
      </c>
      <c r="AB31" s="1125">
        <f t="shared" si="21"/>
        <v>1128</v>
      </c>
      <c r="AC31" s="1125">
        <f t="shared" si="21"/>
        <v>817</v>
      </c>
      <c r="AD31" s="1125">
        <f t="shared" si="21"/>
        <v>0</v>
      </c>
      <c r="AE31" s="1127">
        <f t="shared" si="21"/>
        <v>0</v>
      </c>
      <c r="AF31" s="1128">
        <f t="shared" si="21"/>
        <v>0</v>
      </c>
      <c r="AG31" s="1129">
        <f t="shared" si="21"/>
        <v>0</v>
      </c>
      <c r="AH31" s="1127">
        <f t="shared" si="21"/>
        <v>0</v>
      </c>
      <c r="AI31" s="1117">
        <f t="shared" si="21"/>
        <v>72</v>
      </c>
      <c r="AJ31" s="1117">
        <f t="shared" si="21"/>
        <v>0</v>
      </c>
      <c r="AK31" s="1127">
        <f t="shared" si="21"/>
        <v>0</v>
      </c>
      <c r="AL31" s="1183">
        <f>IF(ISNUMBER(NºAsuntos!G31/NºAsuntos!E31),NºAsuntos!G31/NºAsuntos!E31," - ")</f>
        <v>0.89526542324246772</v>
      </c>
      <c r="AM31" s="1184">
        <f>IF(ISNUMBER(((NºAsuntos!I31/NºAsuntos!G31)*11)/factor_trimestre),((NºAsuntos!I31/NºAsuntos!G31)*11)/factor_trimestre," - ")</f>
        <v>11.985576923076922</v>
      </c>
      <c r="AN31" s="1184">
        <f>IF(ISNUMBER('Resol  Asuntos'!D31/NºAsuntos!G31),'Resol  Asuntos'!D31/NºAsuntos!G31," - ")</f>
        <v>0.11538461538461539</v>
      </c>
      <c r="AO31" s="1185">
        <f>IF(ISNUMBER((NºAsuntos!C31+NºAsuntos!E31)/NºAsuntos!G31),(NºAsuntos!C31+NºAsuntos!E31)/NºAsuntos!G31," - ")</f>
        <v>4.9855769230769234</v>
      </c>
      <c r="AP31" s="1186" t="str">
        <f t="shared" si="2"/>
        <v xml:space="preserve"> - </v>
      </c>
      <c r="AQ31" s="1187">
        <f>IF(OR(ISNUMBER(FIND("01",Criterios!A8,1)),ISNUMBER(FIND("02",Criterios!A8,1)),ISNUMBER(FIND("03",Criterios!A8,1)),ISNUMBER(FIND("04",Criterios!A8,1))),(I31-W31+K31)/(F31-K31),(H31-W31+K31)/(F31-K31))</f>
        <v>-0.40317919075144509</v>
      </c>
      <c r="AR31" s="1188">
        <f>IF(ISNUMBER((Datos!P31-Datos!Q31)/(Datos!R31-Datos!P31+Datos!Q31)),(Datos!P31-Datos!Q31)/(Datos!R31-Datos!P31+Datos!Q31)," - ")</f>
        <v>7.1428571428571426E-3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346.55947060593604</v>
      </c>
      <c r="G33" s="277">
        <f>IF(ISNUMBER(STDEV(G8:G30)),STDEV(G8:G30),"-")</f>
        <v>333.22150505117679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121.43683445275063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18.738806182434814</v>
      </c>
      <c r="AJ33" s="276">
        <f t="shared" si="25"/>
        <v>0</v>
      </c>
      <c r="AK33" s="278">
        <f t="shared" si="25"/>
        <v>0</v>
      </c>
      <c r="AL33" s="273">
        <f t="shared" si="25"/>
        <v>4.678873971156905E-2</v>
      </c>
      <c r="AM33" s="274">
        <f t="shared" si="25"/>
        <v>6.2020247416782572</v>
      </c>
      <c r="AN33" s="274">
        <f t="shared" si="25"/>
        <v>0.16451064079617472</v>
      </c>
      <c r="AO33" s="275">
        <f t="shared" si="25"/>
        <v>2.0723380535652471</v>
      </c>
      <c r="AP33" s="317" t="str">
        <f t="shared" si="25"/>
        <v>-</v>
      </c>
      <c r="AQ33" s="318">
        <f t="shared" si="25"/>
        <v>0.18787645408264564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meffI/lB4SyTgN69QLXuDC6te6dmb07s8mytRw7NLOmIzGNd5az/M6kMYlP8U89StQI/PCj6GldPfzVMfvlbw==" saltValue="Tj2Mp77jG+pUBFpCW2on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TORRELAGUNA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1</v>
      </c>
      <c r="F10" s="393" t="str">
        <f>IF(ISNUMBER((Datos!K10-Datos!U10)/Datos!U10),(Datos!K10-Datos!U10)/Datos!U10," - ")</f>
        <v xml:space="preserve"> - </v>
      </c>
      <c r="G10" s="394">
        <f>IF(ISNUMBER((Datos!L10-Datos!V10)/Datos!V10),(Datos!L10-Datos!V10)/Datos!V10," - ")</f>
        <v>0.55555555555555558</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-0.31578947368421051</v>
      </c>
      <c r="I12" s="395">
        <f>IF(ISNUMBER((Tasas!C12-Datos!BE12)/Datos!BE12),(Tasas!C12-Datos!BE12)/Datos!BE12," - ")</f>
        <v>-0.25429826483446533</v>
      </c>
      <c r="J12" s="394">
        <f>IF(ISNUMBER((Tasas!D12-Datos!BF12)/Datos!BF12),(Tasas!D12-Datos!BF12)/Datos!BF12," - ")</f>
        <v>-0.72008281573498967</v>
      </c>
      <c r="K12" s="396">
        <f>IF(ISNUMBER((Tasas!E12-Datos!BG12)/Datos!BG12),(Tasas!E12-Datos!BG12)/Datos!BG12," - ")</f>
        <v>-0.2211773887633515</v>
      </c>
      <c r="M12" t="e">
        <f>IF(Monitorios="SI",Datos!CE12,0)</f>
        <v>#REF!</v>
      </c>
      <c r="N12" t="e">
        <f>IF(Monitorios="SI",Datos!CF12,0)</f>
        <v>#REF!</v>
      </c>
      <c r="O12" t="e">
        <f>IF(Monitorios="SI",Datos!CG12,0)</f>
        <v>#REF!</v>
      </c>
      <c r="P12" t="e">
        <f>IF(Monitorios="SI",Datos!CH12,0)</f>
        <v>#REF!</v>
      </c>
      <c r="Q12">
        <f>IF(J_V="SI",0,Datos!AG12)</f>
        <v>42</v>
      </c>
      <c r="R12">
        <f>IF(J_V="SI",0,Datos!AH12)</f>
        <v>72</v>
      </c>
      <c r="S12">
        <f>IF(J_V="SI",0,Datos!AI12)</f>
        <v>60</v>
      </c>
      <c r="T12">
        <f>IF(J_V="SI",0,Datos!AJ12)</f>
        <v>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-0.2982456140350877</v>
      </c>
      <c r="I14" s="402">
        <f>IF(ISNUMBER((Tasas!C14-Datos!BE14)/Datos!BE14),(Tasas!C14-Datos!BE14)/Datos!BE14," - ")</f>
        <v>-0.25736643125420011</v>
      </c>
      <c r="J14" s="400">
        <f>IF(ISNUMBER((Tasas!D14-Datos!BF14)/Datos!BF14),(Tasas!D14-Datos!BF14)/Datos!BF14," - ")</f>
        <v>-0.71456017565527652</v>
      </c>
      <c r="K14" s="403">
        <f>IF(ISNUMBER((Tasas!E14-Datos!BG14)/Datos!BG14),(Tasas!E14-Datos!BG14)/Datos!BG14," - ")</f>
        <v>-0.22403379258615927</v>
      </c>
      <c r="M14" t="e">
        <f>IF(Monitorios="SI",Datos!CE14,0)</f>
        <v>#REF!</v>
      </c>
      <c r="N14" t="e">
        <f>IF(Monitorios="SI",Datos!CF14,0)</f>
        <v>#REF!</v>
      </c>
      <c r="O14" t="e">
        <f>IF(Monitorios="SI",Datos!CG14,0)</f>
        <v>#REF!</v>
      </c>
      <c r="P14" t="e">
        <f>IF(Monitorios="SI",Datos!CH14,0)</f>
        <v>#REF!</v>
      </c>
      <c r="Q14">
        <f>IF(J_V="SI",0,Datos!AG14)</f>
        <v>42</v>
      </c>
      <c r="R14">
        <f>IF(J_V="SI",0,Datos!AH14)</f>
        <v>72</v>
      </c>
      <c r="S14">
        <f>IF(J_V="SI",0,Datos!AI14)</f>
        <v>60</v>
      </c>
      <c r="T14">
        <f>IF(J_V="SI",0,Datos!AJ14)</f>
        <v>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2.5954198473282442E-2</v>
      </c>
      <c r="E17" s="393">
        <f>IF(ISNUMBER(
   IF(D_I="SI",(Datos!J17-Datos!T17)/Datos!T17,(Datos!J17+Datos!AD17-(Datos!T17+Datos!AL17))/(Datos!T17+Datos!AL17))
     ),IF(D_I="SI",(Datos!J17-Datos!T17)/Datos!T17,(Datos!J17+Datos!AD17-(Datos!T17+Datos!AL17))/(Datos!T17+Datos!AL17))," - ")</f>
        <v>-0.1111111111111111</v>
      </c>
      <c r="F17" s="393">
        <f>IF(ISNUMBER(
   IF(D_I="SI",(Datos!K17-Datos!U17)/Datos!U17,(Datos!K17+Datos!AE17-(Datos!U17+Datos!AM17))/(Datos!U17+Datos!AM17))
     ),IF(D_I="SI",(Datos!K17-Datos!U17)/Datos!U17,(Datos!K17+Datos!AE17-(Datos!U17+Datos!AM17))/(Datos!U17+Datos!AM17))," - ")</f>
        <v>-0.21283783783783783</v>
      </c>
      <c r="G17" s="394">
        <f>IF(ISNUMBER(
   IF(D_I="SI",(Datos!L17-Datos!V17)/Datos!V17,(Datos!L17+Datos!AF17-(Datos!V17+Datos!AN17))/(Datos!V17+Datos!AN17))
     ),IF(D_I="SI",(Datos!L17-Datos!V17)/Datos!V17,(Datos!L17+Datos!AF17-(Datos!V17+Datos!AN17))/(Datos!V17+Datos!AN17))," - ")</f>
        <v>7.0996978851963752E-2</v>
      </c>
      <c r="H17" s="244">
        <f>IF(ISNUMBER((Datos!M17-Datos!W17)/Datos!W17),(Datos!M17-Datos!W17)/Datos!W17," - ")</f>
        <v>-0.21052631578947367</v>
      </c>
      <c r="I17" s="395">
        <f>IF(ISNUMBER((Tasas!C17-Datos!BE17)/Datos!BE17),(Tasas!C17-Datos!BE17)/Datos!BE17," - ")</f>
        <v>0.36057985296215139</v>
      </c>
      <c r="J17" s="394">
        <f>IF(ISNUMBER((Tasas!D17-Datos!BF17)/Datos!BF17),(Tasas!D17-Datos!BF17)/Datos!BF17," - ")</f>
        <v>2.9365258640162589E-3</v>
      </c>
      <c r="K17" s="396">
        <f>IF(ISNUMBER((Tasas!E17-Datos!BG17)/Datos!BG17),(Tasas!E17-Datos!BG17)/Datos!BG17," - ")</f>
        <v>0.24903523641216155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0.4838709677419355</v>
      </c>
      <c r="F18" s="393">
        <f>IF(ISNUMBER(
   IF(D_I="SI",(Datos!K18-Datos!U18)/Datos!U18,(Datos!K18+Datos!AE18-(Datos!U18+Datos!AM18))/(Datos!U18+Datos!AM18))
     ),IF(D_I="SI",(Datos!K18-Datos!U18)/Datos!U18,(Datos!K18+Datos!AE18-(Datos!U18+Datos!AM18))/(Datos!U18+Datos!AM18))," - ")</f>
        <v>0.41935483870967744</v>
      </c>
      <c r="G18" s="394">
        <f>IF(ISNUMBER(
   IF(D_I="SI",(Datos!L18-Datos!V18)/Datos!V18,(Datos!L18+Datos!AF18-(Datos!V18+Datos!AN18))/(Datos!V18+Datos!AN18))
     ),IF(D_I="SI",(Datos!L18-Datos!V18)/Datos!V18,(Datos!L18+Datos!AF18-(Datos!V18+Datos!AN18))/(Datos!V18+Datos!AN18))," - ")</f>
        <v>1.9607843137254902E-2</v>
      </c>
      <c r="H18" s="244">
        <f>IF(ISNUMBER((Datos!M18-Datos!W18)/Datos!W18),(Datos!M18-Datos!W18)/Datos!W18," - ")</f>
        <v>1</v>
      </c>
      <c r="I18" s="395">
        <f>IF(ISNUMBER((Tasas!C18-Datos!BE18)/Datos!BE18),(Tasas!C18-Datos!BE18)/Datos!BE18," - ")</f>
        <v>-0.28163992869875221</v>
      </c>
      <c r="J18" s="394">
        <f>IF(ISNUMBER((Tasas!D18-Datos!BF18)/Datos!BF18),(Tasas!D18-Datos!BF18)/Datos!BF18," - ")</f>
        <v>0.40909090909090917</v>
      </c>
      <c r="K18" s="396">
        <f>IF(ISNUMBER((Tasas!E18-Datos!BG18)/Datos!BG18),(Tasas!E18-Datos!BG18)/Datos!BG18," - ")</f>
        <v>-0.16498316498316501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2.4113475177304965E-2</v>
      </c>
      <c r="E23" s="399">
        <f>IF(ISNUMBER(
   IF(D_I="SI",(Datos!J23-Datos!T23)/Datos!T23,(Datos!J23+Datos!AD23-(Datos!T23+Datos!AL23))/(Datos!T23+Datos!AL23))
     ),IF(D_I="SI",(Datos!J23-Datos!T23)/Datos!T23,(Datos!J23+Datos!AD23-(Datos!T23+Datos!AL23))/(Datos!T23+Datos!AL23))," - ")</f>
        <v>-5.4878048780487805E-2</v>
      </c>
      <c r="F23" s="399">
        <f>IF(ISNUMBER(
   IF(D_I="SI",(Datos!K23-Datos!U23)/Datos!U23,(Datos!K23+Datos!AE23-(Datos!U23+Datos!AM23))/(Datos!U23+Datos!AM23))
     ),IF(D_I="SI",(Datos!K23-Datos!U23)/Datos!U23,(Datos!K23+Datos!AE23-(Datos!U23+Datos!AM23))/(Datos!U23+Datos!AM23))," - ")</f>
        <v>-0.1529051987767584</v>
      </c>
      <c r="G23" s="400">
        <f>IF(ISNUMBER(
   IF(D_I="SI",(Datos!L23-Datos!V23)/Datos!V23,(Datos!L23+Datos!AF23-(Datos!V23+Datos!AN23))/(Datos!V23+Datos!AN23))
     ),IF(D_I="SI",(Datos!L23-Datos!V23)/Datos!V23,(Datos!L23+Datos!AF23-(Datos!V23+Datos!AN23))/(Datos!V23+Datos!AN23))," - ")</f>
        <v>6.7321178120617109E-2</v>
      </c>
      <c r="H23" s="401">
        <f>IF(ISNUMBER((Datos!M23-Datos!W23)/Datos!W23),(Datos!M23-Datos!W23)/Datos!W23," - ")</f>
        <v>-0.17948717948717949</v>
      </c>
      <c r="I23" s="402">
        <f>IF(ISNUMBER((Tasas!C23-Datos!BE23)/Datos!BE23),(Tasas!C23-Datos!BE23)/Datos!BE23," - ")</f>
        <v>0.25997843048895958</v>
      </c>
      <c r="J23" s="400">
        <f>IF(ISNUMBER((Tasas!D23-Datos!BF23)/Datos!BF23),(Tasas!D23-Datos!BF23)/Datos!BF23," - ")</f>
        <v>-3.1380172174396023E-2</v>
      </c>
      <c r="K23" s="403">
        <f>IF(ISNUMBER((Tasas!E23-Datos!BG23)/Datos!BG23),(Tasas!E23-Datos!BG23)/Datos!BG23," - ")</f>
        <v>0.17936262192415628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0.21489682939104177</v>
      </c>
      <c r="E31" s="409">
        <f>IF(ISNUMBER(
   IF(J_V="SI",(Datos!J31-Datos!T31)/Datos!T31,(Datos!J31+Datos!Z31-(Datos!T31+Datos!AH31))/(Datos!T31+Datos!AH31))
     ),IF(J_V="SI",(Datos!J31-Datos!T31)/Datos!T31,(Datos!J31+Datos!Z31-(Datos!T31+Datos!AH31))/(Datos!T31+Datos!AH31))," - ")</f>
        <v>6.9018404907975464E-2</v>
      </c>
      <c r="F31" s="409">
        <f>IF(ISNUMBER(
   IF(J_V="SI",(Datos!K31-Datos!U31)/Datos!U31,(Datos!K31+Datos!AA31-(Datos!U31+Datos!AI31))/(Datos!U31+Datos!AI31))
     ),IF(J_V="SI",(Datos!K31-Datos!U31)/Datos!U31,(Datos!K31+Datos!AA31-(Datos!U31+Datos!AI31))/(Datos!U31+Datos!AI31))," - ")</f>
        <v>0.16635514018691588</v>
      </c>
      <c r="G31" s="410">
        <f>IF(ISNUMBER(
   IF(J_V="SI",(Datos!L31-Datos!V31)/Datos!V31,(Datos!L31+Datos!AB31-(Datos!V31+Datos!AJ31))/(Datos!V31+Datos!AJ31))
     ),IF(J_V="SI",(Datos!L31-Datos!V31)/Datos!V31,(Datos!L31+Datos!AB31-(Datos!V31+Datos!AJ31))/(Datos!V31+Datos!AJ31))," - ")</f>
        <v>0.18095689246802463</v>
      </c>
      <c r="H31" s="411">
        <f>IF(ISNUMBER((Datos!M31-Datos!W31)/Datos!W31),(Datos!M31-Datos!W31)/Datos!W31," - ")</f>
        <v>-0.25</v>
      </c>
      <c r="I31" s="408">
        <f>IF(ISNUMBER((Tasas!C31-Datos!BE31)/Datos!BE31),(Tasas!C31-Datos!BE31)/Datos!BE31," - ")</f>
        <v>1.2519130561527531E-2</v>
      </c>
      <c r="J31" s="409">
        <f>IF(ISNUMBER((Tasas!D31-Datos!BF31)/Datos!BF31),(Tasas!D31-Datos!BF31)/Datos!BF31," - ")</f>
        <v>-0.49812382739212008</v>
      </c>
      <c r="K31" s="410">
        <f>IF(ISNUMBER((Tasas!E31-Datos!BG31)/Datos!BG31),(Tasas!E31-Datos!BG31)/Datos!BG31," - ")</f>
        <v>1.0717564928440299E-2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0.36684602105804159</v>
      </c>
      <c r="E33" s="303">
        <f t="shared" si="1"/>
        <v>0.52130773950648979</v>
      </c>
      <c r="F33" s="303">
        <f t="shared" si="1"/>
        <v>0.348984491539169</v>
      </c>
      <c r="G33" s="304">
        <f t="shared" si="1"/>
        <v>0.25254383928479596</v>
      </c>
      <c r="H33" s="310">
        <f t="shared" si="1"/>
        <v>0.56240713389327979</v>
      </c>
      <c r="I33" s="302">
        <f t="shared" si="1"/>
        <v>0.31696391429643633</v>
      </c>
      <c r="J33" s="303">
        <f t="shared" si="1"/>
        <v>0.49378204130326775</v>
      </c>
      <c r="K33" s="304">
        <f t="shared" si="1"/>
        <v>0.23125177229449628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zZzoWR3qTGtrfhGjNGUzMYiIVdX5s7xzwU55sxmnc0L5sjdcaQ0K+HuIzy/Dc2Q+5tG4hSuTviCX1GFRCFUaA==" saltValue="NXIMi9l5fHx8OtVRz7U+h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